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D:\Spillway Joints\Reports-Papers\Closeout 2024\"/>
    </mc:Choice>
  </mc:AlternateContent>
  <xr:revisionPtr revIDLastSave="0" documentId="13_ncr:1_{603987CA-0530-49E6-9DAF-C3B24F3C8D99}" xr6:coauthVersionLast="47" xr6:coauthVersionMax="47" xr10:uidLastSave="{00000000-0000-0000-0000-000000000000}"/>
  <bookViews>
    <workbookView xWindow="-120" yWindow="-120" windowWidth="29040" windowHeight="17640" xr2:uid="{457BA39D-8FC3-4BC5-B3DE-787B0AF8C4D4}"/>
  </bookViews>
  <sheets>
    <sheet name="NOTES" sheetId="2" r:id="rId1"/>
    <sheet name="Sheet1" sheetId="1" r:id="rId2"/>
  </sheets>
  <externalReferences>
    <externalReference r:id="rId3"/>
    <externalReference r:id="rId4"/>
  </externalReferences>
  <definedNames>
    <definedName name="gravity">[1]EM46!$C$2</definedName>
    <definedName name="offset">[2]Sheet1!$G$6</definedName>
    <definedName name="solver_adj" localSheetId="1" hidden="1">Sheet1!$Z$60:$Z$62</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lhs1" localSheetId="1" hidden="1">Sheet1!$Z$60</definedName>
    <definedName name="solver_lhs2" localSheetId="1" hidden="1">Sheet1!$Z$61</definedName>
    <definedName name="solver_lhs3" localSheetId="1" hidden="1">Sheet1!$Z$62</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0</definedName>
    <definedName name="solver_nwt" localSheetId="1" hidden="1">1</definedName>
    <definedName name="solver_opt" localSheetId="1" hidden="1">Sheet1!$AC$61</definedName>
    <definedName name="solver_pre" localSheetId="1" hidden="1">0.000001</definedName>
    <definedName name="solver_rbv" localSheetId="1" hidden="1">1</definedName>
    <definedName name="solver_rel1" localSheetId="1" hidden="1">1</definedName>
    <definedName name="solver_rel2" localSheetId="1" hidden="1">3</definedName>
    <definedName name="solver_rel3" localSheetId="1" hidden="1">3</definedName>
    <definedName name="solver_rhs1" localSheetId="1" hidden="1">0</definedName>
    <definedName name="solver_rhs2" localSheetId="1" hidden="1">0</definedName>
    <definedName name="solver_rhs3" localSheetId="1" hidden="1">0</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2</definedName>
    <definedName name="solver_val" localSheetId="1" hidden="1">0</definedName>
    <definedName name="solver_ver" localSheetId="1" hidden="1">3</definedName>
    <definedName name="theta">[2]Sheet1!$J$5</definedName>
    <definedName name="viscosity">[2]Sheet1!$T$3</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72" i="1" l="1"/>
  <c r="AA71" i="1"/>
  <c r="AA70" i="1"/>
  <c r="AA69" i="1"/>
  <c r="AA68" i="1"/>
  <c r="Z68" i="1"/>
  <c r="Z69" i="1" s="1"/>
  <c r="Z70" i="1" s="1"/>
  <c r="Z71" i="1" s="1"/>
  <c r="Z72" i="1" s="1"/>
  <c r="AA67" i="1"/>
  <c r="AA66" i="1"/>
  <c r="AA92" i="1"/>
  <c r="AA91" i="1"/>
  <c r="AA90" i="1"/>
  <c r="AA89" i="1"/>
  <c r="AA88" i="1"/>
  <c r="AA87" i="1"/>
  <c r="AA86" i="1"/>
  <c r="AA85" i="1"/>
  <c r="AA84" i="1"/>
  <c r="AA83" i="1"/>
  <c r="AA82" i="1"/>
  <c r="AA81" i="1"/>
  <c r="AA80" i="1"/>
  <c r="AA79" i="1"/>
  <c r="AA78" i="1"/>
  <c r="AA77" i="1"/>
  <c r="AA76" i="1"/>
  <c r="AA75" i="1"/>
  <c r="AA74" i="1"/>
  <c r="AD79" i="1"/>
  <c r="AD78" i="1"/>
  <c r="AD77" i="1"/>
  <c r="AD76" i="1"/>
  <c r="AD75" i="1"/>
  <c r="AD74" i="1"/>
  <c r="AD72" i="1"/>
  <c r="AD71" i="1"/>
  <c r="AD70" i="1"/>
  <c r="AD69" i="1"/>
  <c r="AD68" i="1"/>
  <c r="AD67" i="1"/>
  <c r="AD66" i="1"/>
  <c r="AD73" i="1"/>
  <c r="AA73" i="1"/>
  <c r="Z86" i="1"/>
  <c r="Z85" i="1"/>
  <c r="Z83" i="1"/>
  <c r="Z82" i="1"/>
  <c r="Z81" i="1"/>
  <c r="Z80" i="1"/>
  <c r="Z79" i="1"/>
  <c r="Z78" i="1"/>
  <c r="Z77" i="1"/>
  <c r="Z76" i="1"/>
  <c r="Z75" i="1"/>
  <c r="Z74" i="1"/>
  <c r="Z73" i="1"/>
  <c r="X37" i="1"/>
  <c r="X36" i="1"/>
  <c r="K56" i="1"/>
  <c r="K57" i="1" s="1"/>
  <c r="L76" i="1"/>
  <c r="L77" i="1"/>
  <c r="P77" i="1" s="1"/>
  <c r="V53" i="1"/>
  <c r="V38" i="1"/>
  <c r="V39" i="1" s="1"/>
  <c r="V40" i="1" s="1"/>
  <c r="V41" i="1" s="1"/>
  <c r="V42" i="1" s="1"/>
  <c r="V43" i="1" s="1"/>
  <c r="V44" i="1" s="1"/>
  <c r="V45" i="1" s="1"/>
  <c r="V46" i="1" s="1"/>
  <c r="V47" i="1" s="1"/>
  <c r="V48" i="1" s="1"/>
  <c r="V49" i="1" s="1"/>
  <c r="V50" i="1" s="1"/>
  <c r="V51" i="1" s="1"/>
  <c r="V52" i="1" s="1"/>
  <c r="C41" i="1"/>
  <c r="Q22" i="1"/>
  <c r="N32" i="1"/>
  <c r="L32" i="1"/>
  <c r="P32" i="1" s="1"/>
  <c r="D32" i="1"/>
  <c r="N79" i="1"/>
  <c r="L79" i="1"/>
  <c r="P79" i="1" s="1"/>
  <c r="D79" i="1"/>
  <c r="N31" i="1"/>
  <c r="L31" i="1"/>
  <c r="P31" i="1" s="1"/>
  <c r="D31" i="1"/>
  <c r="N30" i="1"/>
  <c r="L30" i="1"/>
  <c r="P30" i="1" s="1"/>
  <c r="D30" i="1"/>
  <c r="N29" i="1"/>
  <c r="L29" i="1"/>
  <c r="P29" i="1" s="1"/>
  <c r="D29" i="1"/>
  <c r="N28" i="1"/>
  <c r="L28" i="1"/>
  <c r="P28" i="1" s="1"/>
  <c r="D28" i="1"/>
  <c r="N27" i="1"/>
  <c r="L27" i="1"/>
  <c r="P27" i="1" s="1"/>
  <c r="D27" i="1"/>
  <c r="N26" i="1"/>
  <c r="L26" i="1"/>
  <c r="P26" i="1" s="1"/>
  <c r="D26" i="1"/>
  <c r="N25" i="1"/>
  <c r="L25" i="1"/>
  <c r="P25" i="1" s="1"/>
  <c r="D25" i="1"/>
  <c r="N24" i="1"/>
  <c r="L24" i="1"/>
  <c r="P24" i="1" s="1"/>
  <c r="D24" i="1"/>
  <c r="N78" i="1"/>
  <c r="L78" i="1"/>
  <c r="P78" i="1" s="1"/>
  <c r="D78" i="1"/>
  <c r="N23" i="1"/>
  <c r="L23" i="1"/>
  <c r="P23" i="1" s="1"/>
  <c r="D23" i="1"/>
  <c r="N77" i="1"/>
  <c r="D77" i="1"/>
  <c r="N76" i="1"/>
  <c r="D76" i="1"/>
  <c r="N22" i="1"/>
  <c r="L22" i="1"/>
  <c r="P22" i="1" s="1"/>
  <c r="D22" i="1"/>
  <c r="N21" i="1"/>
  <c r="L21" i="1"/>
  <c r="P21" i="1" s="1"/>
  <c r="D21" i="1"/>
  <c r="N20" i="1"/>
  <c r="L20" i="1"/>
  <c r="P20" i="1" s="1"/>
  <c r="D20" i="1"/>
  <c r="I10" i="1"/>
  <c r="I11" i="1" s="1"/>
  <c r="H27" i="1" s="1"/>
  <c r="T27" i="1" s="1"/>
  <c r="V27" i="1" s="1"/>
  <c r="AB74" i="1" s="1"/>
  <c r="Z87" i="1" l="1"/>
  <c r="Z88" i="1" s="1"/>
  <c r="Z84" i="1"/>
  <c r="X47" i="1"/>
  <c r="X51" i="1"/>
  <c r="X53" i="1"/>
  <c r="X50" i="1"/>
  <c r="X38" i="1"/>
  <c r="X39" i="1"/>
  <c r="X41" i="1"/>
  <c r="X45" i="1"/>
  <c r="X44" i="1"/>
  <c r="X40" i="1"/>
  <c r="X46" i="1"/>
  <c r="X52" i="1"/>
  <c r="X42" i="1"/>
  <c r="X48" i="1"/>
  <c r="X43" i="1"/>
  <c r="X49" i="1"/>
  <c r="K58" i="1"/>
  <c r="H22" i="1"/>
  <c r="H21" i="1"/>
  <c r="T21" i="1" s="1"/>
  <c r="V21" i="1" s="1"/>
  <c r="AB68" i="1" s="1"/>
  <c r="T22" i="1"/>
  <c r="V22" i="1" s="1"/>
  <c r="AB69" i="1" s="1"/>
  <c r="H28" i="1"/>
  <c r="T28" i="1" s="1"/>
  <c r="V28" i="1" s="1"/>
  <c r="AB75" i="1" s="1"/>
  <c r="H29" i="1"/>
  <c r="T29" i="1" s="1"/>
  <c r="V29" i="1" s="1"/>
  <c r="AB76" i="1" s="1"/>
  <c r="H30" i="1"/>
  <c r="T30" i="1" s="1"/>
  <c r="V30" i="1" s="1"/>
  <c r="AB77" i="1" s="1"/>
  <c r="H19" i="1"/>
  <c r="T19" i="1" s="1"/>
  <c r="V19" i="1" s="1"/>
  <c r="AB66" i="1" s="1"/>
  <c r="H31" i="1"/>
  <c r="T31" i="1" s="1"/>
  <c r="V31" i="1" s="1"/>
  <c r="AB78" i="1" s="1"/>
  <c r="H20" i="1"/>
  <c r="T20" i="1" s="1"/>
  <c r="V20" i="1" s="1"/>
  <c r="AB67" i="1" s="1"/>
  <c r="H32" i="1"/>
  <c r="T32" i="1" s="1"/>
  <c r="V32" i="1" s="1"/>
  <c r="AB79" i="1" s="1"/>
  <c r="H24" i="1"/>
  <c r="T24" i="1" s="1"/>
  <c r="V24" i="1" s="1"/>
  <c r="AB71" i="1" s="1"/>
  <c r="H25" i="1"/>
  <c r="T25" i="1" s="1"/>
  <c r="V25" i="1" s="1"/>
  <c r="AB72" i="1" s="1"/>
  <c r="H23" i="1"/>
  <c r="T23" i="1" s="1"/>
  <c r="V23" i="1" s="1"/>
  <c r="AB70" i="1" s="1"/>
  <c r="H26" i="1"/>
  <c r="T26" i="1" s="1"/>
  <c r="V26" i="1" s="1"/>
  <c r="AB73" i="1" s="1"/>
  <c r="H78" i="1"/>
  <c r="H76" i="1"/>
  <c r="H79" i="1"/>
  <c r="H77" i="1"/>
  <c r="N19" i="1"/>
  <c r="L19" i="1"/>
  <c r="P19" i="1" s="1"/>
  <c r="D19" i="1"/>
  <c r="C5" i="1"/>
  <c r="E32" i="1" s="1"/>
  <c r="Z89" i="1" l="1"/>
  <c r="K59" i="1"/>
  <c r="K60" i="1" s="1"/>
  <c r="M32" i="1"/>
  <c r="F32" i="1"/>
  <c r="O32" i="1" s="1"/>
  <c r="E21" i="1"/>
  <c r="M21" i="1" s="1"/>
  <c r="E78" i="1"/>
  <c r="E27" i="1"/>
  <c r="E77" i="1"/>
  <c r="M77" i="1" s="1"/>
  <c r="E30" i="1"/>
  <c r="E79" i="1"/>
  <c r="E28" i="1"/>
  <c r="E24" i="1"/>
  <c r="E26" i="1"/>
  <c r="E29" i="1"/>
  <c r="E25" i="1"/>
  <c r="E23" i="1"/>
  <c r="E31" i="1"/>
  <c r="E20" i="1"/>
  <c r="E76" i="1"/>
  <c r="M76" i="1" s="1"/>
  <c r="E22" i="1"/>
  <c r="E19" i="1"/>
  <c r="Z90" i="1" l="1"/>
  <c r="K61" i="1"/>
  <c r="K62" i="1" s="1"/>
  <c r="K63" i="1" s="1"/>
  <c r="K64" i="1" s="1"/>
  <c r="K65" i="1" s="1"/>
  <c r="K66" i="1" s="1"/>
  <c r="K67" i="1" s="1"/>
  <c r="K68" i="1" s="1"/>
  <c r="F27" i="1"/>
  <c r="M27" i="1"/>
  <c r="M23" i="1"/>
  <c r="F23" i="1"/>
  <c r="F31" i="1"/>
  <c r="M31" i="1"/>
  <c r="M78" i="1"/>
  <c r="F78" i="1"/>
  <c r="F25" i="1"/>
  <c r="M25" i="1"/>
  <c r="M29" i="1"/>
  <c r="F29" i="1"/>
  <c r="M26" i="1"/>
  <c r="F26" i="1"/>
  <c r="F24" i="1"/>
  <c r="M24" i="1"/>
  <c r="F21" i="1"/>
  <c r="O21" i="1" s="1"/>
  <c r="M28" i="1"/>
  <c r="F28" i="1"/>
  <c r="M79" i="1"/>
  <c r="F79" i="1"/>
  <c r="Q32" i="1"/>
  <c r="R32" i="1" s="1"/>
  <c r="S32" i="1" s="1"/>
  <c r="F30" i="1"/>
  <c r="M30" i="1"/>
  <c r="F77" i="1"/>
  <c r="F22" i="1"/>
  <c r="M22" i="1"/>
  <c r="F76" i="1"/>
  <c r="M20" i="1"/>
  <c r="F20" i="1"/>
  <c r="F19" i="1"/>
  <c r="O19" i="1" s="1"/>
  <c r="M19" i="1"/>
  <c r="Z91" i="1" l="1"/>
  <c r="U32" i="1"/>
  <c r="W32" i="1" s="1"/>
  <c r="AC79" i="1" s="1"/>
  <c r="O23" i="1"/>
  <c r="Q23" i="1"/>
  <c r="O27" i="1"/>
  <c r="Q27" i="1"/>
  <c r="O29" i="1"/>
  <c r="Q29" i="1"/>
  <c r="O24" i="1"/>
  <c r="Q24" i="1"/>
  <c r="O26" i="1"/>
  <c r="Q26" i="1"/>
  <c r="O77" i="1"/>
  <c r="Q77" i="1"/>
  <c r="O25" i="1"/>
  <c r="Q25" i="1"/>
  <c r="O31" i="1"/>
  <c r="Q31" i="1"/>
  <c r="O30" i="1"/>
  <c r="Q30" i="1"/>
  <c r="Q21" i="1"/>
  <c r="R21" i="1" s="1"/>
  <c r="S21" i="1" s="1"/>
  <c r="O79" i="1"/>
  <c r="Q79" i="1"/>
  <c r="O78" i="1"/>
  <c r="Q78" i="1"/>
  <c r="O28" i="1"/>
  <c r="Q28" i="1"/>
  <c r="Q20" i="1"/>
  <c r="O20" i="1"/>
  <c r="O76" i="1"/>
  <c r="O22" i="1"/>
  <c r="Q19" i="1"/>
  <c r="R19" i="1" s="1"/>
  <c r="Z92" i="1" l="1"/>
  <c r="S19" i="1"/>
  <c r="C54" i="1" a="1"/>
  <c r="C54" i="1" s="1"/>
  <c r="C53" i="1" a="1"/>
  <c r="C53" i="1" s="1"/>
  <c r="U19" i="1"/>
  <c r="R24" i="1"/>
  <c r="S24" i="1" s="1"/>
  <c r="R30" i="1"/>
  <c r="S30" i="1" s="1"/>
  <c r="R20" i="1"/>
  <c r="S20" i="1" s="1"/>
  <c r="R27" i="1"/>
  <c r="S27" i="1" s="1"/>
  <c r="R23" i="1"/>
  <c r="S23" i="1" s="1"/>
  <c r="R26" i="1"/>
  <c r="S26" i="1" s="1"/>
  <c r="U21" i="1"/>
  <c r="W21" i="1" s="1"/>
  <c r="AC68" i="1" s="1"/>
  <c r="R22" i="1"/>
  <c r="S22" i="1" s="1"/>
  <c r="R29" i="1"/>
  <c r="S29" i="1" s="1"/>
  <c r="R31" i="1"/>
  <c r="S31" i="1" s="1"/>
  <c r="R25" i="1"/>
  <c r="S25" i="1" s="1"/>
  <c r="R28" i="1"/>
  <c r="S28" i="1" s="1"/>
  <c r="L57" i="1" l="1"/>
  <c r="L56" i="1"/>
  <c r="L59" i="1"/>
  <c r="L58" i="1"/>
  <c r="L55" i="1"/>
  <c r="L60" i="1"/>
  <c r="L61" i="1"/>
  <c r="W19" i="1"/>
  <c r="AC66" i="1" s="1"/>
  <c r="AC61" i="1" s="1" a="1"/>
  <c r="AC61" i="1" s="1"/>
  <c r="L62" i="1"/>
  <c r="L63" i="1"/>
  <c r="U23" i="1"/>
  <c r="W23" i="1" s="1"/>
  <c r="AC70" i="1" s="1"/>
  <c r="U27" i="1"/>
  <c r="W27" i="1" s="1"/>
  <c r="AC74" i="1" s="1"/>
  <c r="U25" i="1"/>
  <c r="W25" i="1" s="1"/>
  <c r="AC72" i="1" s="1"/>
  <c r="U28" i="1"/>
  <c r="W28" i="1" s="1"/>
  <c r="AC75" i="1" s="1"/>
  <c r="U22" i="1"/>
  <c r="W22" i="1" s="1"/>
  <c r="AC69" i="1" s="1"/>
  <c r="U29" i="1"/>
  <c r="W29" i="1" s="1"/>
  <c r="AC76" i="1" s="1"/>
  <c r="U26" i="1"/>
  <c r="W26" i="1" s="1"/>
  <c r="AC73" i="1" s="1"/>
  <c r="U31" i="1"/>
  <c r="W31" i="1" s="1"/>
  <c r="AC78" i="1" s="1"/>
  <c r="U30" i="1"/>
  <c r="W30" i="1" s="1"/>
  <c r="AC77" i="1" s="1"/>
  <c r="U24" i="1"/>
  <c r="W24" i="1" s="1"/>
  <c r="AC71" i="1" s="1"/>
  <c r="U20" i="1"/>
  <c r="W20" i="1" s="1"/>
  <c r="AC67" i="1" s="1"/>
  <c r="C37" i="1" l="1" a="1"/>
  <c r="C37" i="1" s="1"/>
  <c r="C38" i="1" a="1"/>
  <c r="C38" i="1" s="1"/>
  <c r="L64" i="1"/>
  <c r="W36" i="1" l="1"/>
  <c r="Y36" i="1" s="1"/>
  <c r="W48" i="1"/>
  <c r="Y48" i="1" s="1"/>
  <c r="W53" i="1"/>
  <c r="C42" i="1"/>
  <c r="E44" i="1" s="1"/>
  <c r="W39" i="1"/>
  <c r="Y39" i="1" s="1"/>
  <c r="W52" i="1"/>
  <c r="Y52" i="1" s="1"/>
  <c r="W38" i="1"/>
  <c r="Y38" i="1" s="1"/>
  <c r="W49" i="1"/>
  <c r="Y49" i="1" s="1"/>
  <c r="L54" i="1"/>
  <c r="W40" i="1"/>
  <c r="Y40" i="1" s="1"/>
  <c r="W50" i="1"/>
  <c r="Y50" i="1" s="1"/>
  <c r="W37" i="1"/>
  <c r="Y37" i="1" s="1"/>
  <c r="W51" i="1"/>
  <c r="Y51" i="1" s="1"/>
  <c r="W41" i="1"/>
  <c r="Y41" i="1" s="1"/>
  <c r="W42" i="1"/>
  <c r="Y42" i="1" s="1"/>
  <c r="W43" i="1"/>
  <c r="Y43" i="1" s="1"/>
  <c r="W44" i="1"/>
  <c r="Y44" i="1" s="1"/>
  <c r="W45" i="1"/>
  <c r="Y45" i="1" s="1"/>
  <c r="W47" i="1"/>
  <c r="Y47" i="1" s="1"/>
  <c r="W46" i="1"/>
  <c r="Y46" i="1" s="1"/>
  <c r="L65" i="1"/>
  <c r="X54" i="1" l="1"/>
  <c r="Y53" i="1"/>
  <c r="L66" i="1"/>
  <c r="L67" i="1" l="1"/>
  <c r="L68" i="1" l="1"/>
  <c r="L69" i="1" l="1"/>
  <c r="M69" i="1" s="1"/>
  <c r="P76" i="1" l="1"/>
  <c r="Q7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Wahl, Tony L</author>
  </authors>
  <commentList>
    <comment ref="Q22" authorId="0" shapeId="0" xr:uid="{7999B58C-6EED-4972-8622-1C83C4A4C641}">
      <text>
        <r>
          <rPr>
            <b/>
            <sz val="9"/>
            <color indexed="81"/>
            <rFont val="Tahoma"/>
            <family val="2"/>
          </rPr>
          <t>Wahl, Tony L:</t>
        </r>
        <r>
          <rPr>
            <sz val="9"/>
            <color indexed="81"/>
            <rFont val="Tahoma"/>
            <family val="2"/>
          </rPr>
          <t xml:space="preserve">
This point is an outlier, but the measurement from the static port seems good.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<sst xmlns="http://schemas.openxmlformats.org/spreadsheetml/2006/main" count="136" uniqueCount="92">
  <si>
    <t>Venturi meter</t>
  </si>
  <si>
    <t>ft</t>
  </si>
  <si>
    <r>
      <t>K</t>
    </r>
    <r>
      <rPr>
        <vertAlign val="subscript"/>
        <sz val="11"/>
        <color theme="1"/>
        <rFont val="Calibri"/>
        <family val="2"/>
        <scheme val="minor"/>
      </rPr>
      <t>venturi</t>
    </r>
  </si>
  <si>
    <t>Tank water level below rim, inches</t>
  </si>
  <si>
    <t>NE 8"</t>
  </si>
  <si>
    <t>Static pressure, calculated from tank water level</t>
  </si>
  <si>
    <t>inches</t>
  </si>
  <si>
    <t>mm Hg</t>
  </si>
  <si>
    <t>Mercury column</t>
  </si>
  <si>
    <t>Dynamic pressure (Pitot)</t>
  </si>
  <si>
    <t>Static pressure (Pitot)</t>
  </si>
  <si>
    <t>Q</t>
  </si>
  <si>
    <t>cfs</t>
  </si>
  <si>
    <t>ft/s</t>
  </si>
  <si>
    <t>Nozzle diameter =</t>
  </si>
  <si>
    <t>Area =</t>
  </si>
  <si>
    <r>
      <t>ft</t>
    </r>
    <r>
      <rPr>
        <vertAlign val="superscript"/>
        <sz val="11"/>
        <color theme="1"/>
        <rFont val="Calibri"/>
        <family val="2"/>
        <scheme val="minor"/>
      </rPr>
      <t>2</t>
    </r>
  </si>
  <si>
    <r>
      <t>V</t>
    </r>
    <r>
      <rPr>
        <b/>
        <vertAlign val="superscript"/>
        <sz val="11"/>
        <color theme="1"/>
        <rFont val="Calibri"/>
        <family val="2"/>
        <scheme val="minor"/>
      </rPr>
      <t>2</t>
    </r>
    <r>
      <rPr>
        <sz val="11"/>
        <color theme="1"/>
        <rFont val="Calibri"/>
        <family val="2"/>
        <scheme val="minor"/>
      </rPr>
      <t>/(2g)</t>
    </r>
  </si>
  <si>
    <t>Tank rim elev. on manometer board =</t>
  </si>
  <si>
    <t>C</t>
  </si>
  <si>
    <t>Re</t>
  </si>
  <si>
    <r>
      <rPr>
        <sz val="11"/>
        <color theme="1"/>
        <rFont val="Symbol"/>
        <family val="1"/>
        <charset val="2"/>
      </rPr>
      <t>D</t>
    </r>
    <r>
      <rPr>
        <sz val="11"/>
        <color theme="1"/>
        <rFont val="Calibri"/>
        <family val="2"/>
        <scheme val="minor"/>
      </rPr>
      <t>P</t>
    </r>
    <r>
      <rPr>
        <vertAlign val="subscript"/>
        <sz val="11"/>
        <color theme="1"/>
        <rFont val="Calibri"/>
        <family val="2"/>
        <scheme val="minor"/>
      </rPr>
      <t>Pitot-Tank</t>
    </r>
  </si>
  <si>
    <t>Corrected for capillary rise in dynamic pressure manometer tube</t>
  </si>
  <si>
    <r>
      <rPr>
        <sz val="11"/>
        <color theme="1"/>
        <rFont val="Symbol"/>
        <family val="1"/>
        <charset val="2"/>
      </rPr>
      <t>D</t>
    </r>
    <r>
      <rPr>
        <sz val="11"/>
        <color theme="1"/>
        <rFont val="Calibri"/>
        <family val="2"/>
        <scheme val="minor"/>
      </rPr>
      <t>P</t>
    </r>
    <r>
      <rPr>
        <vertAlign val="subscript"/>
        <sz val="11"/>
        <color theme="1"/>
        <rFont val="Calibri"/>
        <family val="2"/>
        <scheme val="minor"/>
      </rPr>
      <t>Pitot-static</t>
    </r>
  </si>
  <si>
    <t>No capillary rise correction, since both manometers are affected equally</t>
  </si>
  <si>
    <t>-</t>
  </si>
  <si>
    <t>Based on pitot diameter</t>
  </si>
  <si>
    <t>Pitot diameter</t>
  </si>
  <si>
    <t>Point gage reading with dynamic port touching bottom edge of nozzle</t>
  </si>
  <si>
    <t>cm</t>
  </si>
  <si>
    <t>Distance from centerline to center of Pitot dynamic port @ bottom position</t>
  </si>
  <si>
    <t>Point gage at centerline</t>
  </si>
  <si>
    <t>Point gage elevation</t>
  </si>
  <si>
    <t>Max elevation</t>
  </si>
  <si>
    <t>Interference zone (no  measurements) from 17.21 to 21.40 cm</t>
  </si>
  <si>
    <t>Calibration Check of 0.052" Pitot tube on 2/23/2023</t>
  </si>
  <si>
    <r>
      <t>C</t>
    </r>
    <r>
      <rPr>
        <vertAlign val="subscript"/>
        <sz val="11"/>
        <color theme="1"/>
        <rFont val="Calibri"/>
        <family val="2"/>
        <scheme val="minor"/>
      </rPr>
      <t>avg</t>
    </r>
  </si>
  <si>
    <t>Average of both methods</t>
  </si>
  <si>
    <t>Distance from boundary</t>
  </si>
  <si>
    <t>%</t>
  </si>
  <si>
    <t>a =</t>
  </si>
  <si>
    <t>b =</t>
  </si>
  <si>
    <t>Integrated Discharge function for the whole  pipe</t>
  </si>
  <si>
    <t>R</t>
  </si>
  <si>
    <r>
      <t>ft</t>
    </r>
    <r>
      <rPr>
        <vertAlign val="superscript"/>
        <sz val="11"/>
        <color theme="1"/>
        <rFont val="Calibri"/>
        <family val="2"/>
        <scheme val="minor"/>
      </rPr>
      <t>3</t>
    </r>
    <r>
      <rPr>
        <sz val="11"/>
        <color theme="1"/>
        <rFont val="Calibri"/>
        <family val="2"/>
        <scheme val="minor"/>
      </rPr>
      <t>/s</t>
    </r>
  </si>
  <si>
    <r>
      <t>V</t>
    </r>
    <r>
      <rPr>
        <vertAlign val="subscript"/>
        <sz val="11"/>
        <color theme="1"/>
        <rFont val="Calibri"/>
        <family val="2"/>
        <scheme val="minor"/>
      </rPr>
      <t>avg</t>
    </r>
  </si>
  <si>
    <t>v</t>
  </si>
  <si>
    <t>FLIPPED AXES… (and dimensional, v as function of r)</t>
  </si>
  <si>
    <t>r</t>
  </si>
  <si>
    <t>X</t>
  </si>
  <si>
    <t>Y</t>
  </si>
  <si>
    <t>Fitted Line from boundary to center</t>
  </si>
  <si>
    <r>
      <t>SQRT(C</t>
    </r>
    <r>
      <rPr>
        <vertAlign val="subscript"/>
        <sz val="11"/>
        <color theme="1"/>
        <rFont val="Calibri"/>
        <family val="2"/>
        <scheme val="minor"/>
      </rPr>
      <t>avg</t>
    </r>
    <r>
      <rPr>
        <sz val="11"/>
        <color theme="1"/>
        <rFont val="Calibri"/>
        <family val="2"/>
        <scheme val="minor"/>
      </rPr>
      <t>)</t>
    </r>
  </si>
  <si>
    <t>Error from venturi meter =</t>
  </si>
  <si>
    <t>CURVE FIT PARAMETERS FOR VELOCITY PROFILE</t>
  </si>
  <si>
    <t>POINTS THAT DON'T FIT VERY WELL (Outliers regardless of whether static port or physical tank-level measurement is used)</t>
  </si>
  <si>
    <t>CURVE FIT PARAMETERS FOR DIMENSIONLESS VELOCITY PROFILE</t>
  </si>
  <si>
    <t>Velocities are about 5% high at centerline</t>
  </si>
  <si>
    <r>
      <t>C values are about 10% high at centerline because they relate to V</t>
    </r>
    <r>
      <rPr>
        <vertAlign val="superscript"/>
        <sz val="11"/>
        <color theme="1"/>
        <rFont val="Calibri"/>
        <family val="2"/>
        <scheme val="minor"/>
      </rPr>
      <t>2</t>
    </r>
  </si>
  <si>
    <t>r*</t>
  </si>
  <si>
    <t>v*</t>
  </si>
  <si>
    <t>x*</t>
  </si>
  <si>
    <t>y*</t>
  </si>
  <si>
    <t>c</t>
  </si>
  <si>
    <t>a</t>
  </si>
  <si>
    <t>b</t>
  </si>
  <si>
    <r>
      <rPr>
        <sz val="11"/>
        <color theme="1"/>
        <rFont val="Symbol"/>
        <family val="1"/>
        <charset val="2"/>
      </rPr>
      <t>S(</t>
    </r>
    <r>
      <rPr>
        <sz val="11"/>
        <color theme="1"/>
        <rFont val="Calibri"/>
        <family val="2"/>
        <scheme val="minor"/>
      </rPr>
      <t>err)</t>
    </r>
    <r>
      <rPr>
        <vertAlign val="superscript"/>
        <sz val="11"/>
        <color theme="1"/>
        <rFont val="Calibri"/>
        <family val="2"/>
        <scheme val="minor"/>
      </rPr>
      <t>2</t>
    </r>
  </si>
  <si>
    <t>Fitted line</t>
  </si>
  <si>
    <t>Data…................</t>
  </si>
  <si>
    <r>
      <t>v*</t>
    </r>
    <r>
      <rPr>
        <vertAlign val="subscript"/>
        <sz val="11"/>
        <color theme="1"/>
        <rFont val="Calibri"/>
        <family val="2"/>
        <scheme val="minor"/>
      </rPr>
      <t>predicted</t>
    </r>
  </si>
  <si>
    <t>ATTEMPT TO FIT CURVE BETTER WITH A CUSTOMIZED FUNCTION…</t>
  </si>
  <si>
    <t>y = a(x)^(c+bx)</t>
  </si>
  <si>
    <t>SPREADSHEET DOCUMENTATION</t>
  </si>
  <si>
    <t>Author:</t>
  </si>
  <si>
    <t>Tony Wahl</t>
  </si>
  <si>
    <t>Publisher:</t>
  </si>
  <si>
    <t>Bureau of Reclamation</t>
  </si>
  <si>
    <t>Date of publication:</t>
  </si>
  <si>
    <t>RISE Catalog record link:</t>
  </si>
  <si>
    <t>item link (report):</t>
  </si>
  <si>
    <t>item link (data):</t>
  </si>
  <si>
    <t>Purpose:</t>
  </si>
  <si>
    <t>Data source:</t>
  </si>
  <si>
    <t>Period of record:</t>
  </si>
  <si>
    <t>Data description:</t>
  </si>
  <si>
    <t>Calibration data for Pitot tube used to measure boundary layer velocity profiles in hydraulic jacking research</t>
  </si>
  <si>
    <t>Hydraulics laboratory measurements</t>
  </si>
  <si>
    <t>April 2024</t>
  </si>
  <si>
    <t>See final report ST-2024-22039 and the cited journal articles for more information.</t>
  </si>
  <si>
    <t>https://data.usbr.gov/catalog/8049</t>
  </si>
  <si>
    <t>https://data.usbr.gov/catalog/8049/item/128747</t>
  </si>
  <si>
    <t>https://data.usbr.gov/catalog/8049/item/128751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</si>
</sst>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0" x14ac:knownFonts="1">
    <font>
      <sz val="11"/>
      <color theme="1"/>
      <name val="Calibri"/>
      <family val="2"/>
      <scheme val="minor"/>
    </font>
    <font>
      <sz val="22"/>
      <color theme="1"/>
      <name val="Calibri"/>
      <family val="2"/>
      <scheme val="minor"/>
    </font>
    <font>
      <vertAlign val="subscript"/>
      <sz val="11"/>
      <color theme="1"/>
      <name val="Calibri"/>
      <family val="2"/>
      <scheme val="minor"/>
    </font>
    <font>
      <sz val="11"/>
      <color theme="1"/>
      <name val="Symbol"/>
      <family val="1"/>
      <charset val="2"/>
    </font>
    <font>
      <vertAlign val="superscript"/>
      <sz val="11"/>
      <color theme="1"/>
      <name val="Calibri"/>
      <family val="2"/>
      <scheme val="minor"/>
    </font>
    <font>
      <b/>
      <vertAlign val="superscript"/>
      <sz val="11"/>
      <color theme="1"/>
      <name val="Calibri"/>
      <family val="2"/>
      <scheme val="minor"/>
    </font>
    <font>
      <sz val="8"/>
      <color theme="1"/>
      <name val="Calibri"/>
      <family val="2"/>
      <scheme val="minor"/>
    </font>
    <font>
      <sz val="11"/>
      <color rgb="FF0070C0"/>
      <name val="Calibri"/>
      <family val="2"/>
      <scheme val="minor"/>
    </font>
    <font>
      <sz val="11"/>
      <color rgb="FFC00000"/>
      <name val="Calibri"/>
      <family val="2"/>
      <scheme val="minor"/>
    </font>
    <font>
      <sz val="11"/>
      <color rgb="FF00B050"/>
      <name val="Calibri"/>
      <family val="2"/>
      <scheme val="minor"/>
    </font>
    <font>
      <sz val="11"/>
      <color theme="1"/>
      <name val="Calibri"/>
      <family val="2"/>
      <scheme val="minor"/>
    </font>
    <font>
      <sz val="14"/>
      <color theme="1"/>
      <name val="Calibri"/>
      <family val="2"/>
      <scheme val="minor"/>
    </font>
    <font>
      <sz val="20"/>
      <color theme="1"/>
      <name val="Calibri"/>
      <family val="2"/>
      <scheme val="minor"/>
    </font>
    <font>
      <b/>
      <sz val="14"/>
      <color rgb="FFFF0000"/>
      <name val="Calibri"/>
      <family val="2"/>
      <scheme val="minor"/>
    </font>
    <font>
      <sz val="9"/>
      <color indexed="81"/>
      <name val="Tahoma"/>
      <family val="2"/>
    </font>
    <font>
      <b/>
      <sz val="9"/>
      <color indexed="81"/>
      <name val="Tahoma"/>
      <family val="2"/>
    </font>
    <font>
      <sz val="11"/>
      <color rgb="FF9C0006"/>
      <name val="Calibri"/>
      <family val="2"/>
      <scheme val="minor"/>
    </font>
    <font>
      <b/>
      <sz val="11"/>
      <color theme="1"/>
      <name val="Calibri"/>
      <family val="2"/>
      <scheme val="minor"/>
    </font>
    <font>
      <u/>
      <sz val="11"/>
      <color theme="10"/>
      <name val="Calibri"/>
      <family val="2"/>
      <scheme val="minor"/>
    </font>
    <font>
      <b/>
      <sz val="14"/>
      <color theme="1"/>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
      <patternFill patternType="solid">
        <fgColor rgb="FFFFC7CE"/>
      </patternFill>
    </fill>
    <fill>
      <patternFill patternType="solid">
        <fgColor theme="7"/>
        <bgColor indexed="64"/>
      </patternFill>
    </fill>
  </fills>
  <borders count="12">
    <border>
      <left/>
      <right/>
      <top/>
      <bottom/>
      <diagonal/>
    </border>
    <border>
      <left/>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9" fontId="10" fillId="0" borderId="0" applyFont="0" applyFill="0" applyBorder="0" applyAlignment="0" applyProtection="0"/>
    <xf numFmtId="0" fontId="16" fillId="5" borderId="0" applyNumberFormat="0" applyBorder="0" applyAlignment="0" applyProtection="0"/>
    <xf numFmtId="0" fontId="18" fillId="0" borderId="0" applyNumberFormat="0" applyFill="0" applyBorder="0" applyAlignment="0" applyProtection="0"/>
  </cellStyleXfs>
  <cellXfs count="51">
    <xf numFmtId="0" fontId="0" fillId="0" borderId="0" xfId="0"/>
    <xf numFmtId="0" fontId="0" fillId="0" borderId="0" xfId="0" quotePrefix="1" applyAlignment="1">
      <alignment horizontal="left"/>
    </xf>
    <xf numFmtId="0" fontId="0" fillId="0" borderId="0" xfId="0" quotePrefix="1" applyAlignment="1"/>
    <xf numFmtId="164" fontId="0" fillId="0" borderId="0" xfId="0" applyNumberFormat="1"/>
    <xf numFmtId="0" fontId="0" fillId="0" borderId="0" xfId="0" quotePrefix="1" applyAlignment="1">
      <alignment horizontal="center"/>
    </xf>
    <xf numFmtId="0" fontId="0" fillId="0" borderId="0" xfId="0" quotePrefix="1" applyAlignment="1">
      <alignment horizontal="center" wrapText="1"/>
    </xf>
    <xf numFmtId="0" fontId="0" fillId="0" borderId="0" xfId="0" applyAlignment="1">
      <alignment horizontal="center" wrapText="1"/>
    </xf>
    <xf numFmtId="0" fontId="0" fillId="2" borderId="1" xfId="0" applyFill="1" applyBorder="1" applyAlignment="1">
      <alignment horizontal="center"/>
    </xf>
    <xf numFmtId="0" fontId="0" fillId="2" borderId="1" xfId="0" quotePrefix="1" applyFill="1" applyBorder="1" applyAlignment="1">
      <alignment horizontal="center"/>
    </xf>
    <xf numFmtId="0" fontId="0" fillId="2" borderId="1" xfId="0" applyFill="1" applyBorder="1" applyAlignment="1">
      <alignment horizontal="center" wrapText="1"/>
    </xf>
    <xf numFmtId="0" fontId="0" fillId="2" borderId="1" xfId="0" quotePrefix="1" applyFill="1" applyBorder="1" applyAlignment="1">
      <alignment horizontal="center" wrapText="1"/>
    </xf>
    <xf numFmtId="164" fontId="0" fillId="0" borderId="0" xfId="0" quotePrefix="1" applyNumberFormat="1" applyAlignment="1"/>
    <xf numFmtId="1" fontId="0" fillId="0" borderId="0" xfId="0" applyNumberFormat="1"/>
    <xf numFmtId="0" fontId="6" fillId="0" borderId="0" xfId="0" applyFont="1" applyAlignment="1">
      <alignment wrapText="1"/>
    </xf>
    <xf numFmtId="0" fontId="1" fillId="0" borderId="0" xfId="0" quotePrefix="1" applyFont="1" applyAlignment="1">
      <alignment horizontal="left"/>
    </xf>
    <xf numFmtId="2" fontId="0" fillId="0" borderId="0" xfId="0" applyNumberFormat="1"/>
    <xf numFmtId="164" fontId="7" fillId="0" borderId="0" xfId="0" quotePrefix="1" applyNumberFormat="1" applyFont="1" applyAlignment="1"/>
    <xf numFmtId="0" fontId="8" fillId="0" borderId="0" xfId="0" applyFont="1"/>
    <xf numFmtId="0" fontId="9" fillId="0" borderId="0" xfId="0" applyFont="1"/>
    <xf numFmtId="164" fontId="0" fillId="3" borderId="0" xfId="0" quotePrefix="1" applyNumberFormat="1" applyFill="1" applyAlignment="1"/>
    <xf numFmtId="0" fontId="0" fillId="4" borderId="0" xfId="0" applyFill="1"/>
    <xf numFmtId="0" fontId="11" fillId="0" borderId="0" xfId="0" applyFont="1"/>
    <xf numFmtId="0" fontId="12" fillId="0" borderId="0" xfId="0" quotePrefix="1" applyFont="1" applyAlignment="1">
      <alignment horizontal="left"/>
    </xf>
    <xf numFmtId="0" fontId="11" fillId="0" borderId="0" xfId="0" quotePrefix="1" applyFont="1" applyAlignment="1">
      <alignment horizontal="right"/>
    </xf>
    <xf numFmtId="10" fontId="13" fillId="0" borderId="0" xfId="1" applyNumberFormat="1" applyFont="1"/>
    <xf numFmtId="0" fontId="16" fillId="5" borderId="0" xfId="2"/>
    <xf numFmtId="0" fontId="16" fillId="5" borderId="2" xfId="2" applyBorder="1"/>
    <xf numFmtId="0" fontId="0" fillId="3" borderId="0" xfId="0" applyFill="1"/>
    <xf numFmtId="0" fontId="0" fillId="6" borderId="0" xfId="0" applyFill="1"/>
    <xf numFmtId="0" fontId="0" fillId="0" borderId="4" xfId="0" quotePrefix="1" applyBorder="1" applyAlignment="1">
      <alignment horizontal="right"/>
    </xf>
    <xf numFmtId="0" fontId="0" fillId="0" borderId="5" xfId="0" applyBorder="1"/>
    <xf numFmtId="0" fontId="0" fillId="0" borderId="6" xfId="0" applyBorder="1"/>
    <xf numFmtId="0" fontId="0" fillId="0" borderId="7" xfId="0" quotePrefix="1" applyBorder="1" applyAlignment="1">
      <alignment horizontal="right"/>
    </xf>
    <xf numFmtId="0" fontId="0" fillId="0" borderId="0" xfId="0" applyBorder="1"/>
    <xf numFmtId="0" fontId="0" fillId="0" borderId="8" xfId="0" applyBorder="1"/>
    <xf numFmtId="0" fontId="0" fillId="0" borderId="7" xfId="0" applyBorder="1"/>
    <xf numFmtId="0" fontId="0" fillId="0" borderId="0" xfId="0" quotePrefix="1" applyBorder="1" applyAlignment="1">
      <alignment horizontal="left"/>
    </xf>
    <xf numFmtId="0" fontId="0" fillId="0" borderId="9" xfId="0" applyBorder="1"/>
    <xf numFmtId="0" fontId="0" fillId="0" borderId="10" xfId="0" applyBorder="1"/>
    <xf numFmtId="0" fontId="0" fillId="0" borderId="11" xfId="0" applyBorder="1"/>
    <xf numFmtId="0" fontId="0" fillId="0" borderId="0" xfId="0" quotePrefix="1" applyFill="1" applyBorder="1" applyAlignment="1">
      <alignment horizontal="left"/>
    </xf>
    <xf numFmtId="0" fontId="0" fillId="0" borderId="3" xfId="0" applyBorder="1"/>
    <xf numFmtId="0" fontId="0" fillId="0" borderId="0" xfId="0" applyFont="1" applyBorder="1"/>
    <xf numFmtId="0" fontId="19" fillId="0" borderId="0" xfId="0" quotePrefix="1" applyFont="1" applyAlignment="1">
      <alignment horizontal="left"/>
    </xf>
    <xf numFmtId="0" fontId="17" fillId="0" borderId="0" xfId="0" applyFont="1"/>
    <xf numFmtId="14" fontId="0" fillId="0" borderId="0" xfId="0" applyNumberFormat="1"/>
    <xf numFmtId="0" fontId="17" fillId="0" borderId="0" xfId="0" quotePrefix="1" applyFont="1" applyAlignment="1">
      <alignment horizontal="left"/>
    </xf>
    <xf numFmtId="0" fontId="18" fillId="0" borderId="0" xfId="3"/>
    <xf numFmtId="0" fontId="17" fillId="0" borderId="0" xfId="0" quotePrefix="1" applyFont="1" applyAlignment="1">
      <alignment horizontal="right"/>
    </xf>
    <xf numFmtId="0" fontId="18" fillId="0" borderId="0" xfId="3" quotePrefix="1" applyAlignment="1">
      <alignment horizontal="left"/>
    </xf>
    <xf numFmtId="17" fontId="0" fillId="0" borderId="0" xfId="0" quotePrefix="1" applyNumberFormat="1" applyAlignment="1">
      <alignment horizontal="right"/>
    </xf>
  </cellXfs>
  <cellStyles count="4">
    <cellStyle name="Bad" xfId="2" builtinId="27"/>
    <cellStyle name="Hyperlink" xfId="3" builtinId="8"/>
    <cellStyle name="Normal" xfId="0" builtinId="0"/>
    <cellStyle name="Percent" xfId="1" builtinId="5"/>
  </cellStyles>
  <dxfs count="0"/>
  <tableStyles count="0" defaultTableStyle="TableStyleMedium2" defaultPivotStyle="PivotStyleLight16"/>
  <colors>
    <mruColors>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Sheet1!$H$19:$H$32</c:f>
              <c:numCache>
                <c:formatCode>0.000</c:formatCode>
                <c:ptCount val="14"/>
                <c:pt idx="0">
                  <c:v>0.99961023622047251</c:v>
                </c:pt>
                <c:pt idx="1">
                  <c:v>0.97205118110236222</c:v>
                </c:pt>
                <c:pt idx="2">
                  <c:v>0.72598818897637796</c:v>
                </c:pt>
                <c:pt idx="3">
                  <c:v>0.30275984251968491</c:v>
                </c:pt>
                <c:pt idx="4">
                  <c:v>3.7011811023622054E-2</c:v>
                </c:pt>
                <c:pt idx="5">
                  <c:v>0.92952362204724415</c:v>
                </c:pt>
                <c:pt idx="6">
                  <c:v>0.8310984251968504</c:v>
                </c:pt>
                <c:pt idx="7">
                  <c:v>0.73267322834645676</c:v>
                </c:pt>
                <c:pt idx="8">
                  <c:v>0.63424803149606301</c:v>
                </c:pt>
                <c:pt idx="9">
                  <c:v>0.53582283464566927</c:v>
                </c:pt>
                <c:pt idx="10">
                  <c:v>0.43739763779527563</c:v>
                </c:pt>
                <c:pt idx="11">
                  <c:v>0.33897244094488199</c:v>
                </c:pt>
                <c:pt idx="12">
                  <c:v>0.24054724409448824</c:v>
                </c:pt>
                <c:pt idx="13">
                  <c:v>0.11357874015748048</c:v>
                </c:pt>
              </c:numCache>
            </c:numRef>
          </c:xVal>
          <c:yVal>
            <c:numRef>
              <c:f>Sheet1!$O$19:$O$32</c:f>
              <c:numCache>
                <c:formatCode>General</c:formatCode>
                <c:ptCount val="14"/>
                <c:pt idx="0">
                  <c:v>1.0830930416793849</c:v>
                </c:pt>
                <c:pt idx="1">
                  <c:v>1.0830930416793849</c:v>
                </c:pt>
                <c:pt idx="2">
                  <c:v>1.0678305327880802</c:v>
                </c:pt>
                <c:pt idx="3">
                  <c:v>1.0122313932554696</c:v>
                </c:pt>
                <c:pt idx="4">
                  <c:v>0.8203598529076368</c:v>
                </c:pt>
                <c:pt idx="5">
                  <c:v>1.0809126832663416</c:v>
                </c:pt>
                <c:pt idx="6">
                  <c:v>1.0820028624728633</c:v>
                </c:pt>
                <c:pt idx="7">
                  <c:v>1.0765519664402543</c:v>
                </c:pt>
                <c:pt idx="8">
                  <c:v>1.0694658015978629</c:v>
                </c:pt>
                <c:pt idx="9">
                  <c:v>1.0552934719130795</c:v>
                </c:pt>
                <c:pt idx="10">
                  <c:v>1.0411211422282967</c:v>
                </c:pt>
                <c:pt idx="11">
                  <c:v>1.0209528269076438</c:v>
                </c:pt>
                <c:pt idx="12">
                  <c:v>1.0002394219837298</c:v>
                </c:pt>
                <c:pt idx="13">
                  <c:v>0.93482866959242361</c:v>
                </c:pt>
              </c:numCache>
            </c:numRef>
          </c:yVal>
          <c:smooth val="0"/>
          <c:extLst>
            <c:ext xmlns:c16="http://schemas.microsoft.com/office/drawing/2014/chart" uri="{C3380CC4-5D6E-409C-BE32-E72D297353CC}">
              <c16:uniqueId val="{00000000-FCA5-47B5-B58E-00AEEC1ECAED}"/>
            </c:ext>
          </c:extLst>
        </c:ser>
        <c:ser>
          <c:idx val="1"/>
          <c:order val="1"/>
          <c:spPr>
            <a:ln w="19050" cap="rnd">
              <a:noFill/>
              <a:round/>
            </a:ln>
            <a:effectLst/>
          </c:spPr>
          <c:marker>
            <c:symbol val="circle"/>
            <c:size val="5"/>
            <c:spPr>
              <a:solidFill>
                <a:schemeClr val="accent2"/>
              </a:solidFill>
              <a:ln w="9525">
                <a:solidFill>
                  <a:schemeClr val="accent2"/>
                </a:solidFill>
              </a:ln>
              <a:effectLst/>
            </c:spPr>
          </c:marker>
          <c:xVal>
            <c:numRef>
              <c:f>Sheet1!$H$19:$H$32</c:f>
              <c:numCache>
                <c:formatCode>0.000</c:formatCode>
                <c:ptCount val="14"/>
                <c:pt idx="0">
                  <c:v>0.99961023622047251</c:v>
                </c:pt>
                <c:pt idx="1">
                  <c:v>0.97205118110236222</c:v>
                </c:pt>
                <c:pt idx="2">
                  <c:v>0.72598818897637796</c:v>
                </c:pt>
                <c:pt idx="3">
                  <c:v>0.30275984251968491</c:v>
                </c:pt>
                <c:pt idx="4">
                  <c:v>3.7011811023622054E-2</c:v>
                </c:pt>
                <c:pt idx="5">
                  <c:v>0.92952362204724415</c:v>
                </c:pt>
                <c:pt idx="6">
                  <c:v>0.8310984251968504</c:v>
                </c:pt>
                <c:pt idx="7">
                  <c:v>0.73267322834645676</c:v>
                </c:pt>
                <c:pt idx="8">
                  <c:v>0.63424803149606301</c:v>
                </c:pt>
                <c:pt idx="9">
                  <c:v>0.53582283464566927</c:v>
                </c:pt>
                <c:pt idx="10">
                  <c:v>0.43739763779527563</c:v>
                </c:pt>
                <c:pt idx="11">
                  <c:v>0.33897244094488199</c:v>
                </c:pt>
                <c:pt idx="12">
                  <c:v>0.24054724409448824</c:v>
                </c:pt>
                <c:pt idx="13">
                  <c:v>0.11357874015748048</c:v>
                </c:pt>
              </c:numCache>
            </c:numRef>
          </c:xVal>
          <c:yVal>
            <c:numRef>
              <c:f>Sheet1!$Q$19:$Q$32</c:f>
              <c:numCache>
                <c:formatCode>General</c:formatCode>
                <c:ptCount val="14"/>
                <c:pt idx="0">
                  <c:v>1.0876899640002184</c:v>
                </c:pt>
                <c:pt idx="1">
                  <c:v>1.0876899640002184</c:v>
                </c:pt>
                <c:pt idx="2">
                  <c:v>1.0751529031252178</c:v>
                </c:pt>
                <c:pt idx="3">
                  <c:v>#N/A</c:v>
                </c:pt>
                <c:pt idx="4">
                  <c:v>0.83694874650020978</c:v>
                </c:pt>
                <c:pt idx="5">
                  <c:v>1.0822390679676097</c:v>
                </c:pt>
                <c:pt idx="6">
                  <c:v>1.0822390679676097</c:v>
                </c:pt>
                <c:pt idx="7">
                  <c:v>1.0767881719350005</c:v>
                </c:pt>
                <c:pt idx="8">
                  <c:v>1.0697020070926091</c:v>
                </c:pt>
                <c:pt idx="9">
                  <c:v>1.0533493189947825</c:v>
                </c:pt>
                <c:pt idx="10">
                  <c:v>1.0386318997067385</c:v>
                </c:pt>
                <c:pt idx="11">
                  <c:v>1.0130126883534767</c:v>
                </c:pt>
                <c:pt idx="12">
                  <c:v>0.98957383541325838</c:v>
                </c:pt>
                <c:pt idx="13">
                  <c:v>0.91053584294042988</c:v>
                </c:pt>
              </c:numCache>
            </c:numRef>
          </c:yVal>
          <c:smooth val="0"/>
          <c:extLst>
            <c:ext xmlns:c16="http://schemas.microsoft.com/office/drawing/2014/chart" uri="{C3380CC4-5D6E-409C-BE32-E72D297353CC}">
              <c16:uniqueId val="{00000001-FCA5-47B5-B58E-00AEEC1ECAED}"/>
            </c:ext>
          </c:extLst>
        </c:ser>
        <c:dLbls>
          <c:showLegendKey val="0"/>
          <c:showVal val="0"/>
          <c:showCatName val="0"/>
          <c:showSerName val="0"/>
          <c:showPercent val="0"/>
          <c:showBubbleSize val="0"/>
        </c:dLbls>
        <c:axId val="1217835104"/>
        <c:axId val="1217849248"/>
      </c:scatterChart>
      <c:valAx>
        <c:axId val="1217835104"/>
        <c:scaling>
          <c:orientation val="minMax"/>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849248"/>
        <c:crosses val="autoZero"/>
        <c:crossBetween val="midCat"/>
      </c:valAx>
      <c:valAx>
        <c:axId val="1217849248"/>
        <c:scaling>
          <c:orientation val="minMax"/>
          <c:min val="0.7500000000000001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8351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Dimensionless C values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Average</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forward val="2.0000000000000004E-2"/>
            <c:backward val="0.8"/>
            <c:dispRSqr val="0"/>
            <c:dispEq val="1"/>
            <c:trendlineLbl>
              <c:layout>
                <c:manualLayout>
                  <c:x val="-6.4751747859285572E-2"/>
                  <c:y val="1.5324319028022731E-2"/>
                </c:manualLayout>
              </c:layout>
              <c:numFmt formatCode="General"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rendlineLbl>
          </c:trendline>
          <c:xVal>
            <c:numRef>
              <c:f>Sheet1!$R$19:$R$32</c:f>
              <c:numCache>
                <c:formatCode>General</c:formatCode>
                <c:ptCount val="14"/>
                <c:pt idx="0">
                  <c:v>1.0853915028398018</c:v>
                </c:pt>
                <c:pt idx="1">
                  <c:v>1.0853915028398018</c:v>
                </c:pt>
                <c:pt idx="2">
                  <c:v>1.071491717956649</c:v>
                </c:pt>
                <c:pt idx="3">
                  <c:v>1.0122313932554696</c:v>
                </c:pt>
                <c:pt idx="4">
                  <c:v>0.82865429970392324</c:v>
                </c:pt>
                <c:pt idx="5">
                  <c:v>1.0815758756169758</c:v>
                </c:pt>
                <c:pt idx="6">
                  <c:v>1.0821209652202364</c:v>
                </c:pt>
                <c:pt idx="7">
                  <c:v>1.0766700691876274</c:v>
                </c:pt>
                <c:pt idx="8">
                  <c:v>1.069583904345236</c:v>
                </c:pt>
                <c:pt idx="9">
                  <c:v>1.054321395453931</c:v>
                </c:pt>
                <c:pt idx="10">
                  <c:v>1.0398765209675176</c:v>
                </c:pt>
                <c:pt idx="11">
                  <c:v>1.0169827576305601</c:v>
                </c:pt>
                <c:pt idx="12">
                  <c:v>0.99490662869849411</c:v>
                </c:pt>
                <c:pt idx="13">
                  <c:v>0.92268225626642675</c:v>
                </c:pt>
              </c:numCache>
            </c:numRef>
          </c:xVal>
          <c:yVal>
            <c:numRef>
              <c:f>Sheet1!$H$19:$H$32</c:f>
              <c:numCache>
                <c:formatCode>0.000</c:formatCode>
                <c:ptCount val="14"/>
                <c:pt idx="0">
                  <c:v>0.99961023622047251</c:v>
                </c:pt>
                <c:pt idx="1">
                  <c:v>0.97205118110236222</c:v>
                </c:pt>
                <c:pt idx="2">
                  <c:v>0.72598818897637796</c:v>
                </c:pt>
                <c:pt idx="3">
                  <c:v>0.30275984251968491</c:v>
                </c:pt>
                <c:pt idx="4">
                  <c:v>3.7011811023622054E-2</c:v>
                </c:pt>
                <c:pt idx="5">
                  <c:v>0.92952362204724415</c:v>
                </c:pt>
                <c:pt idx="6">
                  <c:v>0.8310984251968504</c:v>
                </c:pt>
                <c:pt idx="7">
                  <c:v>0.73267322834645676</c:v>
                </c:pt>
                <c:pt idx="8">
                  <c:v>0.63424803149606301</c:v>
                </c:pt>
                <c:pt idx="9">
                  <c:v>0.53582283464566927</c:v>
                </c:pt>
                <c:pt idx="10">
                  <c:v>0.43739763779527563</c:v>
                </c:pt>
                <c:pt idx="11">
                  <c:v>0.33897244094488199</c:v>
                </c:pt>
                <c:pt idx="12">
                  <c:v>0.24054724409448824</c:v>
                </c:pt>
                <c:pt idx="13">
                  <c:v>0.11357874015748048</c:v>
                </c:pt>
              </c:numCache>
            </c:numRef>
          </c:yVal>
          <c:smooth val="0"/>
          <c:extLst>
            <c:ext xmlns:c16="http://schemas.microsoft.com/office/drawing/2014/chart" uri="{C3380CC4-5D6E-409C-BE32-E72D297353CC}">
              <c16:uniqueId val="{00000000-65CF-4FEC-88EF-62746C24AD7E}"/>
            </c:ext>
          </c:extLst>
        </c:ser>
        <c:ser>
          <c:idx val="1"/>
          <c:order val="1"/>
          <c:tx>
            <c:v>Dynamic vs. static</c:v>
          </c:tx>
          <c:spPr>
            <a:ln w="25400" cap="rnd">
              <a:noFill/>
              <a:round/>
            </a:ln>
            <a:effectLst/>
          </c:spPr>
          <c:marker>
            <c:symbol val="circle"/>
            <c:size val="8"/>
            <c:spPr>
              <a:noFill/>
              <a:ln w="9525">
                <a:solidFill>
                  <a:schemeClr val="accent2"/>
                </a:solidFill>
              </a:ln>
              <a:effectLst/>
            </c:spPr>
          </c:marker>
          <c:xVal>
            <c:numRef>
              <c:f>Sheet1!$O$19:$O$32</c:f>
              <c:numCache>
                <c:formatCode>General</c:formatCode>
                <c:ptCount val="14"/>
                <c:pt idx="0">
                  <c:v>1.0830930416793849</c:v>
                </c:pt>
                <c:pt idx="1">
                  <c:v>1.0830930416793849</c:v>
                </c:pt>
                <c:pt idx="2">
                  <c:v>1.0678305327880802</c:v>
                </c:pt>
                <c:pt idx="3">
                  <c:v>1.0122313932554696</c:v>
                </c:pt>
                <c:pt idx="4">
                  <c:v>0.8203598529076368</c:v>
                </c:pt>
                <c:pt idx="5">
                  <c:v>1.0809126832663416</c:v>
                </c:pt>
                <c:pt idx="6">
                  <c:v>1.0820028624728633</c:v>
                </c:pt>
                <c:pt idx="7">
                  <c:v>1.0765519664402543</c:v>
                </c:pt>
                <c:pt idx="8">
                  <c:v>1.0694658015978629</c:v>
                </c:pt>
                <c:pt idx="9">
                  <c:v>1.0552934719130795</c:v>
                </c:pt>
                <c:pt idx="10">
                  <c:v>1.0411211422282967</c:v>
                </c:pt>
                <c:pt idx="11">
                  <c:v>1.0209528269076438</c:v>
                </c:pt>
                <c:pt idx="12">
                  <c:v>1.0002394219837298</c:v>
                </c:pt>
                <c:pt idx="13">
                  <c:v>0.93482866959242361</c:v>
                </c:pt>
              </c:numCache>
            </c:numRef>
          </c:xVal>
          <c:yVal>
            <c:numRef>
              <c:f>Sheet1!$H$19:$H$32</c:f>
              <c:numCache>
                <c:formatCode>0.000</c:formatCode>
                <c:ptCount val="14"/>
                <c:pt idx="0">
                  <c:v>0.99961023622047251</c:v>
                </c:pt>
                <c:pt idx="1">
                  <c:v>0.97205118110236222</c:v>
                </c:pt>
                <c:pt idx="2">
                  <c:v>0.72598818897637796</c:v>
                </c:pt>
                <c:pt idx="3">
                  <c:v>0.30275984251968491</c:v>
                </c:pt>
                <c:pt idx="4">
                  <c:v>3.7011811023622054E-2</c:v>
                </c:pt>
                <c:pt idx="5">
                  <c:v>0.92952362204724415</c:v>
                </c:pt>
                <c:pt idx="6">
                  <c:v>0.8310984251968504</c:v>
                </c:pt>
                <c:pt idx="7">
                  <c:v>0.73267322834645676</c:v>
                </c:pt>
                <c:pt idx="8">
                  <c:v>0.63424803149606301</c:v>
                </c:pt>
                <c:pt idx="9">
                  <c:v>0.53582283464566927</c:v>
                </c:pt>
                <c:pt idx="10">
                  <c:v>0.43739763779527563</c:v>
                </c:pt>
                <c:pt idx="11">
                  <c:v>0.33897244094488199</c:v>
                </c:pt>
                <c:pt idx="12">
                  <c:v>0.24054724409448824</c:v>
                </c:pt>
                <c:pt idx="13">
                  <c:v>0.11357874015748048</c:v>
                </c:pt>
              </c:numCache>
            </c:numRef>
          </c:yVal>
          <c:smooth val="0"/>
          <c:extLst>
            <c:ext xmlns:c16="http://schemas.microsoft.com/office/drawing/2014/chart" uri="{C3380CC4-5D6E-409C-BE32-E72D297353CC}">
              <c16:uniqueId val="{00000001-C304-49D9-89F8-337275A3DC30}"/>
            </c:ext>
          </c:extLst>
        </c:ser>
        <c:ser>
          <c:idx val="2"/>
          <c:order val="2"/>
          <c:tx>
            <c:v>Dynamic vs. tank level</c:v>
          </c:tx>
          <c:spPr>
            <a:ln w="25400" cap="rnd">
              <a:noFill/>
              <a:round/>
            </a:ln>
            <a:effectLst/>
          </c:spPr>
          <c:marker>
            <c:symbol val="circle"/>
            <c:size val="13"/>
            <c:spPr>
              <a:noFill/>
              <a:ln w="9525">
                <a:solidFill>
                  <a:schemeClr val="accent3"/>
                </a:solidFill>
              </a:ln>
              <a:effectLst/>
            </c:spPr>
          </c:marker>
          <c:xVal>
            <c:numRef>
              <c:f>Sheet1!$Q$19:$Q$32</c:f>
              <c:numCache>
                <c:formatCode>General</c:formatCode>
                <c:ptCount val="14"/>
                <c:pt idx="0">
                  <c:v>1.0876899640002184</c:v>
                </c:pt>
                <c:pt idx="1">
                  <c:v>1.0876899640002184</c:v>
                </c:pt>
                <c:pt idx="2">
                  <c:v>1.0751529031252178</c:v>
                </c:pt>
                <c:pt idx="3">
                  <c:v>#N/A</c:v>
                </c:pt>
                <c:pt idx="4">
                  <c:v>0.83694874650020978</c:v>
                </c:pt>
                <c:pt idx="5">
                  <c:v>1.0822390679676097</c:v>
                </c:pt>
                <c:pt idx="6">
                  <c:v>1.0822390679676097</c:v>
                </c:pt>
                <c:pt idx="7">
                  <c:v>1.0767881719350005</c:v>
                </c:pt>
                <c:pt idx="8">
                  <c:v>1.0697020070926091</c:v>
                </c:pt>
                <c:pt idx="9">
                  <c:v>1.0533493189947825</c:v>
                </c:pt>
                <c:pt idx="10">
                  <c:v>1.0386318997067385</c:v>
                </c:pt>
                <c:pt idx="11">
                  <c:v>1.0130126883534767</c:v>
                </c:pt>
                <c:pt idx="12">
                  <c:v>0.98957383541325838</c:v>
                </c:pt>
                <c:pt idx="13">
                  <c:v>0.91053584294042988</c:v>
                </c:pt>
              </c:numCache>
            </c:numRef>
          </c:xVal>
          <c:yVal>
            <c:numRef>
              <c:f>Sheet1!$H$19:$H$32</c:f>
              <c:numCache>
                <c:formatCode>0.000</c:formatCode>
                <c:ptCount val="14"/>
                <c:pt idx="0">
                  <c:v>0.99961023622047251</c:v>
                </c:pt>
                <c:pt idx="1">
                  <c:v>0.97205118110236222</c:v>
                </c:pt>
                <c:pt idx="2">
                  <c:v>0.72598818897637796</c:v>
                </c:pt>
                <c:pt idx="3">
                  <c:v>0.30275984251968491</c:v>
                </c:pt>
                <c:pt idx="4">
                  <c:v>3.7011811023622054E-2</c:v>
                </c:pt>
                <c:pt idx="5">
                  <c:v>0.92952362204724415</c:v>
                </c:pt>
                <c:pt idx="6">
                  <c:v>0.8310984251968504</c:v>
                </c:pt>
                <c:pt idx="7">
                  <c:v>0.73267322834645676</c:v>
                </c:pt>
                <c:pt idx="8">
                  <c:v>0.63424803149606301</c:v>
                </c:pt>
                <c:pt idx="9">
                  <c:v>0.53582283464566927</c:v>
                </c:pt>
                <c:pt idx="10">
                  <c:v>0.43739763779527563</c:v>
                </c:pt>
                <c:pt idx="11">
                  <c:v>0.33897244094488199</c:v>
                </c:pt>
                <c:pt idx="12">
                  <c:v>0.24054724409448824</c:v>
                </c:pt>
                <c:pt idx="13">
                  <c:v>0.11357874015748048</c:v>
                </c:pt>
              </c:numCache>
            </c:numRef>
          </c:yVal>
          <c:smooth val="0"/>
          <c:extLst>
            <c:ext xmlns:c16="http://schemas.microsoft.com/office/drawing/2014/chart" uri="{C3380CC4-5D6E-409C-BE32-E72D297353CC}">
              <c16:uniqueId val="{00000002-C304-49D9-89F8-337275A3DC30}"/>
            </c:ext>
          </c:extLst>
        </c:ser>
        <c:dLbls>
          <c:showLegendKey val="0"/>
          <c:showVal val="0"/>
          <c:showCatName val="0"/>
          <c:showSerName val="0"/>
          <c:showPercent val="0"/>
          <c:showBubbleSize val="0"/>
        </c:dLbls>
        <c:axId val="1217835104"/>
        <c:axId val="1217849248"/>
      </c:scatterChart>
      <c:valAx>
        <c:axId val="1217835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Velocity Head Relative to Expected Mean (from Venturi meter)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849248"/>
        <c:crosses val="autoZero"/>
        <c:crossBetween val="midCat"/>
      </c:valAx>
      <c:valAx>
        <c:axId val="121784924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Fractional radial distance from pipe wall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835104"/>
        <c:crosses val="autoZero"/>
        <c:crossBetween val="midCat"/>
      </c:valAx>
      <c:spPr>
        <a:noFill/>
        <a:ln>
          <a:noFill/>
        </a:ln>
        <a:effectLst/>
      </c:spPr>
    </c:plotArea>
    <c:legend>
      <c:legendPos val="r"/>
      <c:layout>
        <c:manualLayout>
          <c:xMode val="edge"/>
          <c:yMode val="edge"/>
          <c:x val="0.20679462518854738"/>
          <c:y val="0.3845562514562223"/>
          <c:w val="0.42608957711569007"/>
          <c:h val="0.34489886295077316"/>
        </c:manualLayout>
      </c:layout>
      <c:overlay val="1"/>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Axes Flipped and Dimensional Velocities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forward val="2.0000000000000004E-2"/>
            <c:backward val="0.8"/>
            <c:dispRSqr val="0"/>
            <c:dispEq val="1"/>
            <c:trendlineLbl>
              <c:layout>
                <c:manualLayout>
                  <c:x val="5.5530118709085745E-2"/>
                  <c:y val="0.40765703805593767"/>
                </c:manualLayout>
              </c:layout>
              <c:numFmt formatCode="#,##0.00000" sourceLinked="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rendlineLbl>
          </c:trendline>
          <c:xVal>
            <c:numRef>
              <c:f>Sheet1!$T$19:$T$32</c:f>
              <c:numCache>
                <c:formatCode>General</c:formatCode>
                <c:ptCount val="14"/>
                <c:pt idx="0">
                  <c:v>0.33320341207349086</c:v>
                </c:pt>
                <c:pt idx="1">
                  <c:v>0.32401706036745409</c:v>
                </c:pt>
                <c:pt idx="2">
                  <c:v>0.24199606299212598</c:v>
                </c:pt>
                <c:pt idx="3">
                  <c:v>0.10091994750656164</c:v>
                </c:pt>
                <c:pt idx="4">
                  <c:v>1.2337270341207351E-2</c:v>
                </c:pt>
                <c:pt idx="5">
                  <c:v>0.30984120734908138</c:v>
                </c:pt>
                <c:pt idx="6">
                  <c:v>0.27703280839895011</c:v>
                </c:pt>
                <c:pt idx="7">
                  <c:v>0.24422440944881893</c:v>
                </c:pt>
                <c:pt idx="8">
                  <c:v>0.21141601049868766</c:v>
                </c:pt>
                <c:pt idx="9">
                  <c:v>0.17860761154855642</c:v>
                </c:pt>
                <c:pt idx="10">
                  <c:v>0.14579921259842521</c:v>
                </c:pt>
                <c:pt idx="11">
                  <c:v>0.112990813648294</c:v>
                </c:pt>
                <c:pt idx="12">
                  <c:v>8.0182414698162743E-2</c:v>
                </c:pt>
                <c:pt idx="13">
                  <c:v>3.7859580052493493E-2</c:v>
                </c:pt>
              </c:numCache>
            </c:numRef>
          </c:xVal>
          <c:yVal>
            <c:numRef>
              <c:f>Sheet1!$U$19:$U$32</c:f>
              <c:numCache>
                <c:formatCode>General</c:formatCode>
                <c:ptCount val="14"/>
                <c:pt idx="0">
                  <c:v>11.318784401751513</c:v>
                </c:pt>
                <c:pt idx="1">
                  <c:v>11.318784401751513</c:v>
                </c:pt>
                <c:pt idx="2">
                  <c:v>11.24607533023558</c:v>
                </c:pt>
                <c:pt idx="3">
                  <c:v>10.93066237700168</c:v>
                </c:pt>
                <c:pt idx="4">
                  <c:v>9.8899312602936398</c:v>
                </c:pt>
                <c:pt idx="5">
                  <c:v>11.298871639829057</c:v>
                </c:pt>
                <c:pt idx="6">
                  <c:v>11.301718468150467</c:v>
                </c:pt>
                <c:pt idx="7">
                  <c:v>11.27321783402296</c:v>
                </c:pt>
                <c:pt idx="8">
                  <c:v>11.236058932443052</c:v>
                </c:pt>
                <c:pt idx="9">
                  <c:v>11.155603987832004</c:v>
                </c:pt>
                <c:pt idx="10">
                  <c:v>11.078920991384194</c:v>
                </c:pt>
                <c:pt idx="11">
                  <c:v>10.956286338597277</c:v>
                </c:pt>
                <c:pt idx="12">
                  <c:v>10.836717230477749</c:v>
                </c:pt>
                <c:pt idx="13">
                  <c:v>10.435966190695202</c:v>
                </c:pt>
              </c:numCache>
            </c:numRef>
          </c:yVal>
          <c:smooth val="0"/>
          <c:extLst>
            <c:ext xmlns:c16="http://schemas.microsoft.com/office/drawing/2014/chart" uri="{C3380CC4-5D6E-409C-BE32-E72D297353CC}">
              <c16:uniqueId val="{00000001-D8D2-43A7-A76B-FEFFE2019BEA}"/>
            </c:ext>
          </c:extLst>
        </c:ser>
        <c:dLbls>
          <c:showLegendKey val="0"/>
          <c:showVal val="0"/>
          <c:showCatName val="0"/>
          <c:showSerName val="0"/>
          <c:showPercent val="0"/>
          <c:showBubbleSize val="0"/>
        </c:dLbls>
        <c:axId val="1217835104"/>
        <c:axId val="1217849248"/>
      </c:scatterChart>
      <c:valAx>
        <c:axId val="1217835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from Pipe Wall, ft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849248"/>
        <c:crosses val="autoZero"/>
        <c:crossBetween val="midCat"/>
      </c:valAx>
      <c:valAx>
        <c:axId val="1217849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Velocity,</a:t>
                </a:r>
                <a:r>
                  <a:rPr lang="en-US" baseline="0"/>
                  <a:t> ft/s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8351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Full Velocity</a:t>
            </a:r>
            <a:r>
              <a:rPr lang="en-US" baseline="0"/>
              <a:t> Range Scale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38100" cap="rnd">
                <a:solidFill>
                  <a:srgbClr val="4472C4">
                    <a:alpha val="23922"/>
                  </a:srgbClr>
                </a:solidFill>
                <a:prstDash val="solid"/>
              </a:ln>
              <a:effectLst/>
            </c:spPr>
            <c:trendlineType val="power"/>
            <c:dispRSqr val="0"/>
            <c:dispEq val="1"/>
            <c:trendlineLbl>
              <c:layout>
                <c:manualLayout>
                  <c:x val="7.758154009250473E-2"/>
                  <c:y val="0.19688001835283322"/>
                </c:manualLayout>
              </c:layout>
              <c:numFmt formatCode="#,##0.00000" sourceLinked="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rendlineLbl>
          </c:trendline>
          <c:xVal>
            <c:numRef>
              <c:f>Sheet1!$T$19:$T$32</c:f>
              <c:numCache>
                <c:formatCode>General</c:formatCode>
                <c:ptCount val="14"/>
                <c:pt idx="0">
                  <c:v>0.33320341207349086</c:v>
                </c:pt>
                <c:pt idx="1">
                  <c:v>0.32401706036745409</c:v>
                </c:pt>
                <c:pt idx="2">
                  <c:v>0.24199606299212598</c:v>
                </c:pt>
                <c:pt idx="3">
                  <c:v>0.10091994750656164</c:v>
                </c:pt>
                <c:pt idx="4">
                  <c:v>1.2337270341207351E-2</c:v>
                </c:pt>
                <c:pt idx="5">
                  <c:v>0.30984120734908138</c:v>
                </c:pt>
                <c:pt idx="6">
                  <c:v>0.27703280839895011</c:v>
                </c:pt>
                <c:pt idx="7">
                  <c:v>0.24422440944881893</c:v>
                </c:pt>
                <c:pt idx="8">
                  <c:v>0.21141601049868766</c:v>
                </c:pt>
                <c:pt idx="9">
                  <c:v>0.17860761154855642</c:v>
                </c:pt>
                <c:pt idx="10">
                  <c:v>0.14579921259842521</c:v>
                </c:pt>
                <c:pt idx="11">
                  <c:v>0.112990813648294</c:v>
                </c:pt>
                <c:pt idx="12">
                  <c:v>8.0182414698162743E-2</c:v>
                </c:pt>
                <c:pt idx="13">
                  <c:v>3.7859580052493493E-2</c:v>
                </c:pt>
              </c:numCache>
            </c:numRef>
          </c:xVal>
          <c:yVal>
            <c:numRef>
              <c:f>Sheet1!$U$19:$U$32</c:f>
              <c:numCache>
                <c:formatCode>General</c:formatCode>
                <c:ptCount val="14"/>
                <c:pt idx="0">
                  <c:v>11.318784401751513</c:v>
                </c:pt>
                <c:pt idx="1">
                  <c:v>11.318784401751513</c:v>
                </c:pt>
                <c:pt idx="2">
                  <c:v>11.24607533023558</c:v>
                </c:pt>
                <c:pt idx="3">
                  <c:v>10.93066237700168</c:v>
                </c:pt>
                <c:pt idx="4">
                  <c:v>9.8899312602936398</c:v>
                </c:pt>
                <c:pt idx="5">
                  <c:v>11.298871639829057</c:v>
                </c:pt>
                <c:pt idx="6">
                  <c:v>11.301718468150467</c:v>
                </c:pt>
                <c:pt idx="7">
                  <c:v>11.27321783402296</c:v>
                </c:pt>
                <c:pt idx="8">
                  <c:v>11.236058932443052</c:v>
                </c:pt>
                <c:pt idx="9">
                  <c:v>11.155603987832004</c:v>
                </c:pt>
                <c:pt idx="10">
                  <c:v>11.078920991384194</c:v>
                </c:pt>
                <c:pt idx="11">
                  <c:v>10.956286338597277</c:v>
                </c:pt>
                <c:pt idx="12">
                  <c:v>10.836717230477749</c:v>
                </c:pt>
                <c:pt idx="13">
                  <c:v>10.435966190695202</c:v>
                </c:pt>
              </c:numCache>
            </c:numRef>
          </c:yVal>
          <c:smooth val="0"/>
          <c:extLst>
            <c:ext xmlns:c16="http://schemas.microsoft.com/office/drawing/2014/chart" uri="{C3380CC4-5D6E-409C-BE32-E72D297353CC}">
              <c16:uniqueId val="{00000001-8D8E-48D3-B23B-CE337733E9CB}"/>
            </c:ext>
          </c:extLst>
        </c:ser>
        <c:ser>
          <c:idx val="1"/>
          <c:order val="1"/>
          <c:spPr>
            <a:ln w="3175" cap="rnd">
              <a:solidFill>
                <a:srgbClr val="0070C0"/>
              </a:solidFill>
              <a:round/>
            </a:ln>
            <a:effectLst/>
          </c:spPr>
          <c:marker>
            <c:symbol val="none"/>
          </c:marker>
          <c:xVal>
            <c:numRef>
              <c:f>Sheet1!$V$36:$V$53</c:f>
              <c:numCache>
                <c:formatCode>General</c:formatCode>
                <c:ptCount val="18"/>
                <c:pt idx="0">
                  <c:v>0</c:v>
                </c:pt>
                <c:pt idx="1">
                  <c:v>1.0000000000000001E-18</c:v>
                </c:pt>
                <c:pt idx="2">
                  <c:v>1.0000000000000001E-15</c:v>
                </c:pt>
                <c:pt idx="3">
                  <c:v>9.9999999999999998E-13</c:v>
                </c:pt>
                <c:pt idx="4">
                  <c:v>1.0000000000000001E-9</c:v>
                </c:pt>
                <c:pt idx="5">
                  <c:v>1.0000000000000002E-6</c:v>
                </c:pt>
                <c:pt idx="6">
                  <c:v>5.0000000000000013E-6</c:v>
                </c:pt>
                <c:pt idx="7">
                  <c:v>2.5000000000000005E-5</c:v>
                </c:pt>
                <c:pt idx="8">
                  <c:v>1.2500000000000003E-4</c:v>
                </c:pt>
                <c:pt idx="9">
                  <c:v>6.2500000000000012E-4</c:v>
                </c:pt>
                <c:pt idx="10">
                  <c:v>3.1250000000000006E-3</c:v>
                </c:pt>
                <c:pt idx="11">
                  <c:v>6.2500000000000012E-3</c:v>
                </c:pt>
                <c:pt idx="12">
                  <c:v>1.2500000000000002E-2</c:v>
                </c:pt>
                <c:pt idx="13">
                  <c:v>2.5000000000000005E-2</c:v>
                </c:pt>
                <c:pt idx="14">
                  <c:v>5.000000000000001E-2</c:v>
                </c:pt>
                <c:pt idx="15">
                  <c:v>0.10000000000000002</c:v>
                </c:pt>
                <c:pt idx="16">
                  <c:v>0.20000000000000004</c:v>
                </c:pt>
                <c:pt idx="17">
                  <c:v>0.33333333333333331</c:v>
                </c:pt>
              </c:numCache>
            </c:numRef>
          </c:xVal>
          <c:yVal>
            <c:numRef>
              <c:f>Sheet1!$W$36:$W$53</c:f>
              <c:numCache>
                <c:formatCode>General</c:formatCode>
                <c:ptCount val="18"/>
                <c:pt idx="0">
                  <c:v>0</c:v>
                </c:pt>
                <c:pt idx="1">
                  <c:v>2.2193554234764492</c:v>
                </c:pt>
                <c:pt idx="2">
                  <c:v>2.9370480263533723</c:v>
                </c:pt>
                <c:pt idx="3">
                  <c:v>3.8868272372497605</c:v>
                </c:pt>
                <c:pt idx="4">
                  <c:v>5.143744956388721</c:v>
                </c:pt>
                <c:pt idx="5">
                  <c:v>6.8071232811200595</c:v>
                </c:pt>
                <c:pt idx="6">
                  <c:v>7.2663249473932732</c:v>
                </c:pt>
                <c:pt idx="7">
                  <c:v>7.756503894611722</c:v>
                </c:pt>
                <c:pt idx="8">
                  <c:v>8.279749818883321</c:v>
                </c:pt>
                <c:pt idx="9">
                  <c:v>8.8382933851063452</c:v>
                </c:pt>
                <c:pt idx="10">
                  <c:v>9.4345157365817478</c:v>
                </c:pt>
                <c:pt idx="11">
                  <c:v>9.7035312805734026</c:v>
                </c:pt>
                <c:pt idx="12">
                  <c:v>9.9802175270080564</c:v>
                </c:pt>
                <c:pt idx="13">
                  <c:v>10.264793198101893</c:v>
                </c:pt>
                <c:pt idx="14">
                  <c:v>10.557483252710856</c:v>
                </c:pt>
                <c:pt idx="15">
                  <c:v>10.858519064162033</c:v>
                </c:pt>
                <c:pt idx="16">
                  <c:v>11.168138603155738</c:v>
                </c:pt>
                <c:pt idx="17">
                  <c:v>11.401954149317081</c:v>
                </c:pt>
              </c:numCache>
            </c:numRef>
          </c:yVal>
          <c:smooth val="0"/>
          <c:extLst>
            <c:ext xmlns:c16="http://schemas.microsoft.com/office/drawing/2014/chart" uri="{C3380CC4-5D6E-409C-BE32-E72D297353CC}">
              <c16:uniqueId val="{00000002-8D8E-48D3-B23B-CE337733E9CB}"/>
            </c:ext>
          </c:extLst>
        </c:ser>
        <c:dLbls>
          <c:showLegendKey val="0"/>
          <c:showVal val="0"/>
          <c:showCatName val="0"/>
          <c:showSerName val="0"/>
          <c:showPercent val="0"/>
          <c:showBubbleSize val="0"/>
        </c:dLbls>
        <c:axId val="1217835104"/>
        <c:axId val="1217849248"/>
      </c:scatterChart>
      <c:valAx>
        <c:axId val="1217835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from Pipe Wall, ft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849248"/>
        <c:crosses val="autoZero"/>
        <c:crossBetween val="midCat"/>
      </c:valAx>
      <c:valAx>
        <c:axId val="1217849248"/>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Velocity, ft/s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8351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aseline="0"/>
              <a:t>Dimensionless C values (Dynamic Pressure vs. Mean Velocity Head</a:t>
            </a:r>
          </a:p>
        </c:rich>
      </c:tx>
      <c:layout>
        <c:manualLayout>
          <c:xMode val="edge"/>
          <c:yMode val="edge"/>
          <c:x val="0.19656317125561415"/>
          <c:y val="8.032128514056224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forward val="3.0000000000000006E-2"/>
            <c:backward val="1"/>
            <c:dispRSqr val="0"/>
            <c:dispEq val="1"/>
            <c:trendlineLbl>
              <c:layout>
                <c:manualLayout>
                  <c:x val="-9.3854699469411704E-2"/>
                  <c:y val="0.20983692445421068"/>
                </c:manualLayout>
              </c:layout>
              <c:numFmt formatCode="General"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rendlineLbl>
          </c:trendline>
          <c:xVal>
            <c:numRef>
              <c:f>Sheet1!$H$19:$H$32</c:f>
              <c:numCache>
                <c:formatCode>0.000</c:formatCode>
                <c:ptCount val="14"/>
                <c:pt idx="0">
                  <c:v>0.99961023622047251</c:v>
                </c:pt>
                <c:pt idx="1">
                  <c:v>0.97205118110236222</c:v>
                </c:pt>
                <c:pt idx="2">
                  <c:v>0.72598818897637796</c:v>
                </c:pt>
                <c:pt idx="3">
                  <c:v>0.30275984251968491</c:v>
                </c:pt>
                <c:pt idx="4">
                  <c:v>3.7011811023622054E-2</c:v>
                </c:pt>
                <c:pt idx="5">
                  <c:v>0.92952362204724415</c:v>
                </c:pt>
                <c:pt idx="6">
                  <c:v>0.8310984251968504</c:v>
                </c:pt>
                <c:pt idx="7">
                  <c:v>0.73267322834645676</c:v>
                </c:pt>
                <c:pt idx="8">
                  <c:v>0.63424803149606301</c:v>
                </c:pt>
                <c:pt idx="9">
                  <c:v>0.53582283464566927</c:v>
                </c:pt>
                <c:pt idx="10">
                  <c:v>0.43739763779527563</c:v>
                </c:pt>
                <c:pt idx="11">
                  <c:v>0.33897244094488199</c:v>
                </c:pt>
                <c:pt idx="12">
                  <c:v>0.24054724409448824</c:v>
                </c:pt>
                <c:pt idx="13">
                  <c:v>0.11357874015748048</c:v>
                </c:pt>
              </c:numCache>
            </c:numRef>
          </c:xVal>
          <c:yVal>
            <c:numRef>
              <c:f>Sheet1!$R$19:$R$32</c:f>
              <c:numCache>
                <c:formatCode>General</c:formatCode>
                <c:ptCount val="14"/>
                <c:pt idx="0">
                  <c:v>1.0853915028398018</c:v>
                </c:pt>
                <c:pt idx="1">
                  <c:v>1.0853915028398018</c:v>
                </c:pt>
                <c:pt idx="2">
                  <c:v>1.071491717956649</c:v>
                </c:pt>
                <c:pt idx="3">
                  <c:v>1.0122313932554696</c:v>
                </c:pt>
                <c:pt idx="4">
                  <c:v>0.82865429970392324</c:v>
                </c:pt>
                <c:pt idx="5">
                  <c:v>1.0815758756169758</c:v>
                </c:pt>
                <c:pt idx="6">
                  <c:v>1.0821209652202364</c:v>
                </c:pt>
                <c:pt idx="7">
                  <c:v>1.0766700691876274</c:v>
                </c:pt>
                <c:pt idx="8">
                  <c:v>1.069583904345236</c:v>
                </c:pt>
                <c:pt idx="9">
                  <c:v>1.054321395453931</c:v>
                </c:pt>
                <c:pt idx="10">
                  <c:v>1.0398765209675176</c:v>
                </c:pt>
                <c:pt idx="11">
                  <c:v>1.0169827576305601</c:v>
                </c:pt>
                <c:pt idx="12">
                  <c:v>0.99490662869849411</c:v>
                </c:pt>
                <c:pt idx="13">
                  <c:v>0.92268225626642675</c:v>
                </c:pt>
              </c:numCache>
            </c:numRef>
          </c:yVal>
          <c:smooth val="0"/>
          <c:extLst>
            <c:ext xmlns:c16="http://schemas.microsoft.com/office/drawing/2014/chart" uri="{C3380CC4-5D6E-409C-BE32-E72D297353CC}">
              <c16:uniqueId val="{00000001-1FE2-4912-9FF6-49BD65F19CA8}"/>
            </c:ext>
          </c:extLst>
        </c:ser>
        <c:dLbls>
          <c:showLegendKey val="0"/>
          <c:showVal val="0"/>
          <c:showCatName val="0"/>
          <c:showSerName val="0"/>
          <c:showPercent val="0"/>
          <c:showBubbleSize val="0"/>
        </c:dLbls>
        <c:axId val="1217835104"/>
        <c:axId val="1217849248"/>
      </c:scatterChart>
      <c:valAx>
        <c:axId val="1217835104"/>
        <c:scaling>
          <c:orientation val="minMax"/>
          <c:max val="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kern="1200" baseline="0">
                    <a:solidFill>
                      <a:sysClr val="windowText" lastClr="000000">
                        <a:lumMod val="65000"/>
                        <a:lumOff val="35000"/>
                      </a:sysClr>
                    </a:solidFill>
                  </a:rPr>
                  <a:t>Fractional radial distance from pipe wall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849248"/>
        <c:crosses val="autoZero"/>
        <c:crossBetween val="midCat"/>
      </c:valAx>
      <c:valAx>
        <c:axId val="1217849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US" sz="1000" b="0" i="0" u="none" strike="noStrike" kern="1200" baseline="0">
                    <a:solidFill>
                      <a:sysClr val="windowText" lastClr="000000">
                        <a:lumMod val="65000"/>
                        <a:lumOff val="35000"/>
                      </a:sysClr>
                    </a:solidFill>
                  </a:rPr>
                  <a:t>Velocity Head Relative to Mean (from Venturi meter)</a:t>
                </a: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8351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Dimensionless Velocities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noFill/>
              <a:ln w="9525">
                <a:solidFill>
                  <a:schemeClr val="accent1"/>
                </a:solidFill>
              </a:ln>
              <a:effectLst/>
            </c:spPr>
          </c:marker>
          <c:trendline>
            <c:spPr>
              <a:ln w="28575" cap="rnd">
                <a:solidFill>
                  <a:srgbClr val="4472C4">
                    <a:alpha val="26000"/>
                  </a:srgbClr>
                </a:solidFill>
                <a:prstDash val="solid"/>
              </a:ln>
              <a:effectLst/>
            </c:spPr>
            <c:trendlineType val="power"/>
            <c:dispRSqr val="0"/>
            <c:dispEq val="1"/>
            <c:trendlineLbl>
              <c:layout>
                <c:manualLayout>
                  <c:x val="-0.23168605719617183"/>
                  <c:y val="0.12842516307083235"/>
                </c:manualLayout>
              </c:layout>
              <c:numFmt formatCode="#,##0.00000" sourceLinked="0"/>
              <c:spPr>
                <a:solidFill>
                  <a:sysClr val="window" lastClr="FFFFFF"/>
                </a:solid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rendlineLbl>
          </c:trendline>
          <c:xVal>
            <c:numRef>
              <c:f>Sheet1!$V$19:$V$32</c:f>
              <c:numCache>
                <c:formatCode>General</c:formatCode>
                <c:ptCount val="14"/>
                <c:pt idx="0">
                  <c:v>0.99961023622047263</c:v>
                </c:pt>
                <c:pt idx="1">
                  <c:v>0.97205118110236233</c:v>
                </c:pt>
                <c:pt idx="2">
                  <c:v>0.72598818897637796</c:v>
                </c:pt>
                <c:pt idx="3">
                  <c:v>0.30275984251968491</c:v>
                </c:pt>
                <c:pt idx="4">
                  <c:v>3.7011811023622054E-2</c:v>
                </c:pt>
                <c:pt idx="5">
                  <c:v>0.92952362204724415</c:v>
                </c:pt>
                <c:pt idx="6">
                  <c:v>0.8310984251968504</c:v>
                </c:pt>
                <c:pt idx="7">
                  <c:v>0.73267322834645687</c:v>
                </c:pt>
                <c:pt idx="8">
                  <c:v>0.63424803149606301</c:v>
                </c:pt>
                <c:pt idx="9">
                  <c:v>0.53582283464566927</c:v>
                </c:pt>
                <c:pt idx="10">
                  <c:v>0.43739763779527563</c:v>
                </c:pt>
                <c:pt idx="11">
                  <c:v>0.33897244094488199</c:v>
                </c:pt>
                <c:pt idx="12">
                  <c:v>0.24054724409448824</c:v>
                </c:pt>
                <c:pt idx="13">
                  <c:v>0.11357874015748048</c:v>
                </c:pt>
              </c:numCache>
            </c:numRef>
          </c:xVal>
          <c:yVal>
            <c:numRef>
              <c:f>Sheet1!$W$19:$W$32</c:f>
              <c:numCache>
                <c:formatCode>General</c:formatCode>
                <c:ptCount val="14"/>
                <c:pt idx="0">
                  <c:v>1.0418212432273599</c:v>
                </c:pt>
                <c:pt idx="1">
                  <c:v>1.0418212432273599</c:v>
                </c:pt>
                <c:pt idx="2">
                  <c:v>1.0351288412350652</c:v>
                </c:pt>
                <c:pt idx="3">
                  <c:v>1.0060971092570883</c:v>
                </c:pt>
                <c:pt idx="4">
                  <c:v>0.91030450932856721</c:v>
                </c:pt>
                <c:pt idx="5">
                  <c:v>1.0399884016742571</c:v>
                </c:pt>
                <c:pt idx="6">
                  <c:v>1.0402504338957212</c:v>
                </c:pt>
                <c:pt idx="7">
                  <c:v>1.0376271339877476</c:v>
                </c:pt>
                <c:pt idx="8">
                  <c:v>1.0342068962955313</c:v>
                </c:pt>
                <c:pt idx="9">
                  <c:v>1.026801536546343</c:v>
                </c:pt>
                <c:pt idx="10">
                  <c:v>1.0197433603449044</c:v>
                </c:pt>
                <c:pt idx="11">
                  <c:v>1.0084556299761334</c:v>
                </c:pt>
                <c:pt idx="12">
                  <c:v>0.99745006326055963</c:v>
                </c:pt>
                <c:pt idx="13">
                  <c:v>0.96056350975165961</c:v>
                </c:pt>
              </c:numCache>
            </c:numRef>
          </c:yVal>
          <c:smooth val="0"/>
          <c:extLst>
            <c:ext xmlns:c16="http://schemas.microsoft.com/office/drawing/2014/chart" uri="{C3380CC4-5D6E-409C-BE32-E72D297353CC}">
              <c16:uniqueId val="{00000001-57AE-4257-BBC9-1CEE3202F8CA}"/>
            </c:ext>
          </c:extLst>
        </c:ser>
        <c:ser>
          <c:idx val="1"/>
          <c:order val="1"/>
          <c:spPr>
            <a:ln w="6350" cap="rnd">
              <a:solidFill>
                <a:srgbClr val="4472C4"/>
              </a:solidFill>
              <a:round/>
            </a:ln>
            <a:effectLst/>
          </c:spPr>
          <c:marker>
            <c:symbol val="none"/>
          </c:marker>
          <c:xVal>
            <c:numRef>
              <c:f>Sheet1!$X$36:$X$53</c:f>
              <c:numCache>
                <c:formatCode>General</c:formatCode>
                <c:ptCount val="18"/>
                <c:pt idx="0">
                  <c:v>0</c:v>
                </c:pt>
                <c:pt idx="1">
                  <c:v>3.0000000000000002E-18</c:v>
                </c:pt>
                <c:pt idx="2">
                  <c:v>3.0000000000000002E-15</c:v>
                </c:pt>
                <c:pt idx="3">
                  <c:v>3.0000000000000001E-12</c:v>
                </c:pt>
                <c:pt idx="4">
                  <c:v>3.0000000000000004E-9</c:v>
                </c:pt>
                <c:pt idx="5">
                  <c:v>3.0000000000000005E-6</c:v>
                </c:pt>
                <c:pt idx="6">
                  <c:v>1.5000000000000004E-5</c:v>
                </c:pt>
                <c:pt idx="7">
                  <c:v>7.5000000000000021E-5</c:v>
                </c:pt>
                <c:pt idx="8">
                  <c:v>3.7500000000000012E-4</c:v>
                </c:pt>
                <c:pt idx="9">
                  <c:v>1.8750000000000004E-3</c:v>
                </c:pt>
                <c:pt idx="10">
                  <c:v>9.3750000000000031E-3</c:v>
                </c:pt>
                <c:pt idx="11">
                  <c:v>1.8750000000000006E-2</c:v>
                </c:pt>
                <c:pt idx="12">
                  <c:v>3.7500000000000012E-2</c:v>
                </c:pt>
                <c:pt idx="13">
                  <c:v>7.5000000000000025E-2</c:v>
                </c:pt>
                <c:pt idx="14">
                  <c:v>0.15000000000000005</c:v>
                </c:pt>
                <c:pt idx="15">
                  <c:v>0.3000000000000001</c:v>
                </c:pt>
                <c:pt idx="16">
                  <c:v>0.6000000000000002</c:v>
                </c:pt>
                <c:pt idx="17">
                  <c:v>1</c:v>
                </c:pt>
              </c:numCache>
            </c:numRef>
          </c:xVal>
          <c:yVal>
            <c:numRef>
              <c:f>Sheet1!$Y$36:$Y$53</c:f>
              <c:numCache>
                <c:formatCode>General</c:formatCode>
                <c:ptCount val="18"/>
                <c:pt idx="0">
                  <c:v>0</c:v>
                </c:pt>
                <c:pt idx="1">
                  <c:v>0.20427738036001672</c:v>
                </c:pt>
                <c:pt idx="2">
                  <c:v>0.27033636454462695</c:v>
                </c:pt>
                <c:pt idx="3">
                  <c:v>0.35775742701618146</c:v>
                </c:pt>
                <c:pt idx="4">
                  <c:v>0.47344861206828082</c:v>
                </c:pt>
                <c:pt idx="5">
                  <c:v>0.626551879408622</c:v>
                </c:pt>
                <c:pt idx="6">
                  <c:v>0.66881843682929387</c:v>
                </c:pt>
                <c:pt idx="7">
                  <c:v>0.7139362535549113</c:v>
                </c:pt>
                <c:pt idx="8">
                  <c:v>0.76209767266047634</c:v>
                </c:pt>
                <c:pt idx="9">
                  <c:v>0.81350801249070304</c:v>
                </c:pt>
                <c:pt idx="10">
                  <c:v>0.86838644195861692</c:v>
                </c:pt>
                <c:pt idx="11">
                  <c:v>0.89314759108391528</c:v>
                </c:pt>
                <c:pt idx="12">
                  <c:v>0.91861477899146626</c:v>
                </c:pt>
                <c:pt idx="13">
                  <c:v>0.94480813765331717</c:v>
                </c:pt>
                <c:pt idx="14">
                  <c:v>0.97174837308405893</c:v>
                </c:pt>
                <c:pt idx="15">
                  <c:v>0.99945678170906027</c:v>
                </c:pt>
                <c:pt idx="16">
                  <c:v>1.027955267199427</c:v>
                </c:pt>
                <c:pt idx="17">
                  <c:v>1.0494764831128602</c:v>
                </c:pt>
              </c:numCache>
            </c:numRef>
          </c:yVal>
          <c:smooth val="0"/>
          <c:extLst>
            <c:ext xmlns:c16="http://schemas.microsoft.com/office/drawing/2014/chart" uri="{C3380CC4-5D6E-409C-BE32-E72D297353CC}">
              <c16:uniqueId val="{00000002-57AE-4257-BBC9-1CEE3202F8CA}"/>
            </c:ext>
          </c:extLst>
        </c:ser>
        <c:dLbls>
          <c:showLegendKey val="0"/>
          <c:showVal val="0"/>
          <c:showCatName val="0"/>
          <c:showSerName val="0"/>
          <c:showPercent val="0"/>
          <c:showBubbleSize val="0"/>
        </c:dLbls>
        <c:axId val="1217835104"/>
        <c:axId val="1217849248"/>
      </c:scatterChart>
      <c:valAx>
        <c:axId val="1217835104"/>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Dimensionless</a:t>
                </a:r>
                <a:r>
                  <a:rPr lang="en-US" baseline="0"/>
                  <a:t> </a:t>
                </a:r>
                <a:r>
                  <a:rPr lang="en-US"/>
                  <a:t>Distance from Pipe Wall,</a:t>
                </a:r>
                <a:r>
                  <a:rPr lang="en-US" baseline="0"/>
                  <a:t> r/R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849248"/>
        <c:crosses val="autoZero"/>
        <c:crossBetween val="midCat"/>
      </c:valAx>
      <c:valAx>
        <c:axId val="1217849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V* = V/V</a:t>
                </a:r>
                <a:r>
                  <a:rPr lang="en-US" sz="1200" baseline="-25000"/>
                  <a:t>avg</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8351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Dimensionless Velocities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noFill/>
              <a:ln w="9525">
                <a:solidFill>
                  <a:schemeClr val="accent1"/>
                </a:solidFill>
              </a:ln>
              <a:effectLst/>
            </c:spPr>
          </c:marker>
          <c:xVal>
            <c:numRef>
              <c:f>Sheet1!$V$19:$V$32</c:f>
              <c:numCache>
                <c:formatCode>General</c:formatCode>
                <c:ptCount val="14"/>
                <c:pt idx="0">
                  <c:v>0.99961023622047263</c:v>
                </c:pt>
                <c:pt idx="1">
                  <c:v>0.97205118110236233</c:v>
                </c:pt>
                <c:pt idx="2">
                  <c:v>0.72598818897637796</c:v>
                </c:pt>
                <c:pt idx="3">
                  <c:v>0.30275984251968491</c:v>
                </c:pt>
                <c:pt idx="4">
                  <c:v>3.7011811023622054E-2</c:v>
                </c:pt>
                <c:pt idx="5">
                  <c:v>0.92952362204724415</c:v>
                </c:pt>
                <c:pt idx="6">
                  <c:v>0.8310984251968504</c:v>
                </c:pt>
                <c:pt idx="7">
                  <c:v>0.73267322834645687</c:v>
                </c:pt>
                <c:pt idx="8">
                  <c:v>0.63424803149606301</c:v>
                </c:pt>
                <c:pt idx="9">
                  <c:v>0.53582283464566927</c:v>
                </c:pt>
                <c:pt idx="10">
                  <c:v>0.43739763779527563</c:v>
                </c:pt>
                <c:pt idx="11">
                  <c:v>0.33897244094488199</c:v>
                </c:pt>
                <c:pt idx="12">
                  <c:v>0.24054724409448824</c:v>
                </c:pt>
                <c:pt idx="13">
                  <c:v>0.11357874015748048</c:v>
                </c:pt>
              </c:numCache>
            </c:numRef>
          </c:xVal>
          <c:yVal>
            <c:numRef>
              <c:f>Sheet1!$W$19:$W$32</c:f>
              <c:numCache>
                <c:formatCode>General</c:formatCode>
                <c:ptCount val="14"/>
                <c:pt idx="0">
                  <c:v>1.0418212432273599</c:v>
                </c:pt>
                <c:pt idx="1">
                  <c:v>1.0418212432273599</c:v>
                </c:pt>
                <c:pt idx="2">
                  <c:v>1.0351288412350652</c:v>
                </c:pt>
                <c:pt idx="3">
                  <c:v>1.0060971092570883</c:v>
                </c:pt>
                <c:pt idx="4">
                  <c:v>0.91030450932856721</c:v>
                </c:pt>
                <c:pt idx="5">
                  <c:v>1.0399884016742571</c:v>
                </c:pt>
                <c:pt idx="6">
                  <c:v>1.0402504338957212</c:v>
                </c:pt>
                <c:pt idx="7">
                  <c:v>1.0376271339877476</c:v>
                </c:pt>
                <c:pt idx="8">
                  <c:v>1.0342068962955313</c:v>
                </c:pt>
                <c:pt idx="9">
                  <c:v>1.026801536546343</c:v>
                </c:pt>
                <c:pt idx="10">
                  <c:v>1.0197433603449044</c:v>
                </c:pt>
                <c:pt idx="11">
                  <c:v>1.0084556299761334</c:v>
                </c:pt>
                <c:pt idx="12">
                  <c:v>0.99745006326055963</c:v>
                </c:pt>
                <c:pt idx="13">
                  <c:v>0.96056350975165961</c:v>
                </c:pt>
              </c:numCache>
            </c:numRef>
          </c:yVal>
          <c:smooth val="0"/>
          <c:extLst>
            <c:ext xmlns:c16="http://schemas.microsoft.com/office/drawing/2014/chart" uri="{C3380CC4-5D6E-409C-BE32-E72D297353CC}">
              <c16:uniqueId val="{00000001-2A97-4FA6-8B9D-BE5EDAD76375}"/>
            </c:ext>
          </c:extLst>
        </c:ser>
        <c:ser>
          <c:idx val="1"/>
          <c:order val="1"/>
          <c:tx>
            <c:v>Power curve</c:v>
          </c:tx>
          <c:spPr>
            <a:ln w="6350" cap="rnd">
              <a:solidFill>
                <a:srgbClr val="4472C4"/>
              </a:solidFill>
              <a:prstDash val="lgDash"/>
              <a:round/>
            </a:ln>
            <a:effectLst/>
          </c:spPr>
          <c:marker>
            <c:symbol val="none"/>
          </c:marker>
          <c:xVal>
            <c:numRef>
              <c:f>Sheet1!$X$36:$X$53</c:f>
              <c:numCache>
                <c:formatCode>General</c:formatCode>
                <c:ptCount val="18"/>
                <c:pt idx="0">
                  <c:v>0</c:v>
                </c:pt>
                <c:pt idx="1">
                  <c:v>3.0000000000000002E-18</c:v>
                </c:pt>
                <c:pt idx="2">
                  <c:v>3.0000000000000002E-15</c:v>
                </c:pt>
                <c:pt idx="3">
                  <c:v>3.0000000000000001E-12</c:v>
                </c:pt>
                <c:pt idx="4">
                  <c:v>3.0000000000000004E-9</c:v>
                </c:pt>
                <c:pt idx="5">
                  <c:v>3.0000000000000005E-6</c:v>
                </c:pt>
                <c:pt idx="6">
                  <c:v>1.5000000000000004E-5</c:v>
                </c:pt>
                <c:pt idx="7">
                  <c:v>7.5000000000000021E-5</c:v>
                </c:pt>
                <c:pt idx="8">
                  <c:v>3.7500000000000012E-4</c:v>
                </c:pt>
                <c:pt idx="9">
                  <c:v>1.8750000000000004E-3</c:v>
                </c:pt>
                <c:pt idx="10">
                  <c:v>9.3750000000000031E-3</c:v>
                </c:pt>
                <c:pt idx="11">
                  <c:v>1.8750000000000006E-2</c:v>
                </c:pt>
                <c:pt idx="12">
                  <c:v>3.7500000000000012E-2</c:v>
                </c:pt>
                <c:pt idx="13">
                  <c:v>7.5000000000000025E-2</c:v>
                </c:pt>
                <c:pt idx="14">
                  <c:v>0.15000000000000005</c:v>
                </c:pt>
                <c:pt idx="15">
                  <c:v>0.3000000000000001</c:v>
                </c:pt>
                <c:pt idx="16">
                  <c:v>0.6000000000000002</c:v>
                </c:pt>
                <c:pt idx="17">
                  <c:v>1</c:v>
                </c:pt>
              </c:numCache>
            </c:numRef>
          </c:xVal>
          <c:yVal>
            <c:numRef>
              <c:f>Sheet1!$Y$36:$Y$53</c:f>
              <c:numCache>
                <c:formatCode>General</c:formatCode>
                <c:ptCount val="18"/>
                <c:pt idx="0">
                  <c:v>0</c:v>
                </c:pt>
                <c:pt idx="1">
                  <c:v>0.20427738036001672</c:v>
                </c:pt>
                <c:pt idx="2">
                  <c:v>0.27033636454462695</c:v>
                </c:pt>
                <c:pt idx="3">
                  <c:v>0.35775742701618146</c:v>
                </c:pt>
                <c:pt idx="4">
                  <c:v>0.47344861206828082</c:v>
                </c:pt>
                <c:pt idx="5">
                  <c:v>0.626551879408622</c:v>
                </c:pt>
                <c:pt idx="6">
                  <c:v>0.66881843682929387</c:v>
                </c:pt>
                <c:pt idx="7">
                  <c:v>0.7139362535549113</c:v>
                </c:pt>
                <c:pt idx="8">
                  <c:v>0.76209767266047634</c:v>
                </c:pt>
                <c:pt idx="9">
                  <c:v>0.81350801249070304</c:v>
                </c:pt>
                <c:pt idx="10">
                  <c:v>0.86838644195861692</c:v>
                </c:pt>
                <c:pt idx="11">
                  <c:v>0.89314759108391528</c:v>
                </c:pt>
                <c:pt idx="12">
                  <c:v>0.91861477899146626</c:v>
                </c:pt>
                <c:pt idx="13">
                  <c:v>0.94480813765331717</c:v>
                </c:pt>
                <c:pt idx="14">
                  <c:v>0.97174837308405893</c:v>
                </c:pt>
                <c:pt idx="15">
                  <c:v>0.99945678170906027</c:v>
                </c:pt>
                <c:pt idx="16">
                  <c:v>1.027955267199427</c:v>
                </c:pt>
                <c:pt idx="17">
                  <c:v>1.0494764831128602</c:v>
                </c:pt>
              </c:numCache>
            </c:numRef>
          </c:yVal>
          <c:smooth val="1"/>
          <c:extLst>
            <c:ext xmlns:c16="http://schemas.microsoft.com/office/drawing/2014/chart" uri="{C3380CC4-5D6E-409C-BE32-E72D297353CC}">
              <c16:uniqueId val="{00000002-2A97-4FA6-8B9D-BE5EDAD76375}"/>
            </c:ext>
          </c:extLst>
        </c:ser>
        <c:ser>
          <c:idx val="2"/>
          <c:order val="2"/>
          <c:tx>
            <c:v>Custom curve</c:v>
          </c:tx>
          <c:spPr>
            <a:ln w="22225" cap="rnd">
              <a:solidFill>
                <a:schemeClr val="accent2"/>
              </a:solidFill>
              <a:round/>
            </a:ln>
            <a:effectLst/>
          </c:spPr>
          <c:marker>
            <c:symbol val="none"/>
          </c:marker>
          <c:xVal>
            <c:numRef>
              <c:f>Sheet1!$Z$66:$Z$92</c:f>
              <c:numCache>
                <c:formatCode>General</c:formatCode>
                <c:ptCount val="27"/>
                <c:pt idx="0">
                  <c:v>0</c:v>
                </c:pt>
                <c:pt idx="1">
                  <c:v>1E-10</c:v>
                </c:pt>
                <c:pt idx="2">
                  <c:v>1.0000000000000001E-9</c:v>
                </c:pt>
                <c:pt idx="3">
                  <c:v>1E-8</c:v>
                </c:pt>
                <c:pt idx="4">
                  <c:v>9.9999999999999995E-8</c:v>
                </c:pt>
                <c:pt idx="5">
                  <c:v>9.9999999999999995E-7</c:v>
                </c:pt>
                <c:pt idx="6">
                  <c:v>9.9999999999999991E-6</c:v>
                </c:pt>
                <c:pt idx="7">
                  <c:v>7.5000000000000007E-5</c:v>
                </c:pt>
                <c:pt idx="8">
                  <c:v>3.7500000000000012E-4</c:v>
                </c:pt>
                <c:pt idx="9">
                  <c:v>1.2500000000000002E-3</c:v>
                </c:pt>
                <c:pt idx="10">
                  <c:v>6.2500000000000012E-3</c:v>
                </c:pt>
                <c:pt idx="11">
                  <c:v>1.2500000000000002E-2</c:v>
                </c:pt>
                <c:pt idx="12">
                  <c:v>2.5000000000000005E-2</c:v>
                </c:pt>
                <c:pt idx="13">
                  <c:v>5.000000000000001E-2</c:v>
                </c:pt>
                <c:pt idx="14">
                  <c:v>0.10000000000000002</c:v>
                </c:pt>
                <c:pt idx="15">
                  <c:v>0.15000000000000002</c:v>
                </c:pt>
                <c:pt idx="16">
                  <c:v>0.2</c:v>
                </c:pt>
                <c:pt idx="17">
                  <c:v>0.25</c:v>
                </c:pt>
                <c:pt idx="18">
                  <c:v>0.3</c:v>
                </c:pt>
                <c:pt idx="19">
                  <c:v>0.35</c:v>
                </c:pt>
                <c:pt idx="20">
                  <c:v>0.39999999999999997</c:v>
                </c:pt>
                <c:pt idx="21">
                  <c:v>0.5</c:v>
                </c:pt>
                <c:pt idx="22">
                  <c:v>0.6</c:v>
                </c:pt>
                <c:pt idx="23">
                  <c:v>0.7</c:v>
                </c:pt>
                <c:pt idx="24">
                  <c:v>0.79999999999999993</c:v>
                </c:pt>
                <c:pt idx="25">
                  <c:v>0.89999999999999991</c:v>
                </c:pt>
                <c:pt idx="26">
                  <c:v>0.99999999999999989</c:v>
                </c:pt>
              </c:numCache>
            </c:numRef>
          </c:xVal>
          <c:yVal>
            <c:numRef>
              <c:f>Sheet1!$AA$66:$AA$92</c:f>
              <c:numCache>
                <c:formatCode>General</c:formatCode>
                <c:ptCount val="27"/>
                <c:pt idx="0">
                  <c:v>0</c:v>
                </c:pt>
                <c:pt idx="1">
                  <c:v>0.39685373630045151</c:v>
                </c:pt>
                <c:pt idx="2">
                  <c:v>0.43704116549782718</c:v>
                </c:pt>
                <c:pt idx="3">
                  <c:v>0.48129818113078771</c:v>
                </c:pt>
                <c:pt idx="4">
                  <c:v>0.53003691470911296</c:v>
                </c:pt>
                <c:pt idx="5">
                  <c:v>0.58371143706478978</c:v>
                </c:pt>
                <c:pt idx="6">
                  <c:v>0.64282365232164218</c:v>
                </c:pt>
                <c:pt idx="7">
                  <c:v>0.69945576718075331</c:v>
                </c:pt>
                <c:pt idx="8">
                  <c:v>0.74830858229729347</c:v>
                </c:pt>
                <c:pt idx="9">
                  <c:v>0.78718999827779923</c:v>
                </c:pt>
                <c:pt idx="10">
                  <c:v>0.84288760039043675</c:v>
                </c:pt>
                <c:pt idx="11">
                  <c:v>0.868528171606199</c:v>
                </c:pt>
                <c:pt idx="12">
                  <c:v>0.89546793557604853</c:v>
                </c:pt>
                <c:pt idx="13">
                  <c:v>0.92399216615512214</c:v>
                </c:pt>
                <c:pt idx="14">
                  <c:v>0.95430561510560652</c:v>
                </c:pt>
                <c:pt idx="15">
                  <c:v>0.97278045774946575</c:v>
                </c:pt>
                <c:pt idx="16">
                  <c:v>0.98605684134488103</c:v>
                </c:pt>
                <c:pt idx="17">
                  <c:v>0.9963083397321949</c:v>
                </c:pt>
                <c:pt idx="18">
                  <c:v>1.0045387076268439</c:v>
                </c:pt>
                <c:pt idx="19">
                  <c:v>1.0113012005487214</c:v>
                </c:pt>
                <c:pt idx="20">
                  <c:v>1.0169363846295927</c:v>
                </c:pt>
                <c:pt idx="21">
                  <c:v>1.0256624962749881</c:v>
                </c:pt>
                <c:pt idx="22">
                  <c:v>1.0318582647084937</c:v>
                </c:pt>
                <c:pt idx="23">
                  <c:v>1.0361676179867192</c:v>
                </c:pt>
                <c:pt idx="24">
                  <c:v>1.038996183817563</c:v>
                </c:pt>
                <c:pt idx="25">
                  <c:v>1.0406196322891601</c:v>
                </c:pt>
                <c:pt idx="26">
                  <c:v>1.0412360414681985</c:v>
                </c:pt>
              </c:numCache>
            </c:numRef>
          </c:yVal>
          <c:smooth val="1"/>
          <c:extLst>
            <c:ext xmlns:c16="http://schemas.microsoft.com/office/drawing/2014/chart" uri="{C3380CC4-5D6E-409C-BE32-E72D297353CC}">
              <c16:uniqueId val="{00000003-2A97-4FA6-8B9D-BE5EDAD76375}"/>
            </c:ext>
          </c:extLst>
        </c:ser>
        <c:dLbls>
          <c:showLegendKey val="0"/>
          <c:showVal val="0"/>
          <c:showCatName val="0"/>
          <c:showSerName val="0"/>
          <c:showPercent val="0"/>
          <c:showBubbleSize val="0"/>
        </c:dLbls>
        <c:axId val="1217835104"/>
        <c:axId val="1217849248"/>
      </c:scatterChart>
      <c:valAx>
        <c:axId val="1217835104"/>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Dimensionless</a:t>
                </a:r>
                <a:r>
                  <a:rPr lang="en-US" baseline="0"/>
                  <a:t> </a:t>
                </a:r>
                <a:r>
                  <a:rPr lang="en-US"/>
                  <a:t>Distance from Pipe Wall,</a:t>
                </a:r>
                <a:r>
                  <a:rPr lang="en-US" baseline="0"/>
                  <a:t> r/R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849248"/>
        <c:crosses val="autoZero"/>
        <c:crossBetween val="midCat"/>
      </c:valAx>
      <c:valAx>
        <c:axId val="1217849248"/>
        <c:scaling>
          <c:orientation val="minMax"/>
          <c:min val="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V* = V/V</a:t>
                </a:r>
                <a:r>
                  <a:rPr lang="en-US" sz="1200" baseline="-25000"/>
                  <a:t>avg</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8351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2.png"/><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114300</xdr:colOff>
      <xdr:row>18</xdr:row>
      <xdr:rowOff>180975</xdr:rowOff>
    </xdr:from>
    <xdr:to>
      <xdr:col>7</xdr:col>
      <xdr:colOff>522124</xdr:colOff>
      <xdr:row>26</xdr:row>
      <xdr:rowOff>66675</xdr:rowOff>
    </xdr:to>
    <xdr:sp macro="" textlink="">
      <xdr:nvSpPr>
        <xdr:cNvPr id="2" name="TextBox 1">
          <a:extLst>
            <a:ext uri="{FF2B5EF4-FFF2-40B4-BE49-F238E27FC236}">
              <a16:creationId xmlns:a16="http://schemas.microsoft.com/office/drawing/2014/main" id="{5AA9EAF1-ED91-4F8A-AE32-E2D54416D884}"/>
            </a:ext>
          </a:extLst>
        </xdr:cNvPr>
        <xdr:cNvSpPr txBox="1"/>
      </xdr:nvSpPr>
      <xdr:spPr>
        <a:xfrm>
          <a:off x="114300" y="3657600"/>
          <a:ext cx="5646574" cy="14097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Iterative calculation is required for this spreadsheet due to circular references.  Excel does not always remember the iterative calculation setting.  To re-enable</a:t>
          </a:r>
          <a:r>
            <a:rPr lang="en-US" sz="1400" baseline="0"/>
            <a:t> iterative calculation, go to File / Options / Formulas and check the </a:t>
          </a:r>
          <a:r>
            <a:rPr lang="en-US" sz="1400" b="1" baseline="0"/>
            <a:t>Enable iterative calculation</a:t>
          </a:r>
          <a:r>
            <a:rPr lang="en-US" sz="1400" baseline="0"/>
            <a:t> box.  (See screen shot at right.)</a:t>
          </a:r>
        </a:p>
      </xdr:txBody>
    </xdr:sp>
    <xdr:clientData/>
  </xdr:twoCellAnchor>
  <xdr:twoCellAnchor editAs="oneCell">
    <xdr:from>
      <xdr:col>9</xdr:col>
      <xdr:colOff>400050</xdr:colOff>
      <xdr:row>17</xdr:row>
      <xdr:rowOff>180975</xdr:rowOff>
    </xdr:from>
    <xdr:to>
      <xdr:col>22</xdr:col>
      <xdr:colOff>341917</xdr:colOff>
      <xdr:row>51</xdr:row>
      <xdr:rowOff>161118</xdr:rowOff>
    </xdr:to>
    <xdr:pic>
      <xdr:nvPicPr>
        <xdr:cNvPr id="3" name="Picture 2">
          <a:extLst>
            <a:ext uri="{FF2B5EF4-FFF2-40B4-BE49-F238E27FC236}">
              <a16:creationId xmlns:a16="http://schemas.microsoft.com/office/drawing/2014/main" id="{5BAD03A1-4E18-4E8B-88AC-EF96F966ED03}"/>
            </a:ext>
          </a:extLst>
        </xdr:cNvPr>
        <xdr:cNvPicPr>
          <a:picLocks noChangeAspect="1"/>
        </xdr:cNvPicPr>
      </xdr:nvPicPr>
      <xdr:blipFill>
        <a:blip xmlns:r="http://schemas.openxmlformats.org/officeDocument/2006/relationships" r:embed="rId1"/>
        <a:stretch>
          <a:fillRect/>
        </a:stretch>
      </xdr:blipFill>
      <xdr:spPr>
        <a:xfrm>
          <a:off x="6858000" y="3467100"/>
          <a:ext cx="7866667" cy="64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161924</xdr:colOff>
      <xdr:row>1</xdr:row>
      <xdr:rowOff>142875</xdr:rowOff>
    </xdr:from>
    <xdr:to>
      <xdr:col>19</xdr:col>
      <xdr:colOff>66675</xdr:colOff>
      <xdr:row>7</xdr:row>
      <xdr:rowOff>53340</xdr:rowOff>
    </xdr:to>
    <xdr:sp macro="" textlink="">
      <xdr:nvSpPr>
        <xdr:cNvPr id="2" name="TextBox 1">
          <a:extLst>
            <a:ext uri="{FF2B5EF4-FFF2-40B4-BE49-F238E27FC236}">
              <a16:creationId xmlns:a16="http://schemas.microsoft.com/office/drawing/2014/main" id="{CC74AFB3-234F-49AD-85EA-2A2DA2BD8D11}"/>
            </a:ext>
          </a:extLst>
        </xdr:cNvPr>
        <xdr:cNvSpPr txBox="1"/>
      </xdr:nvSpPr>
      <xdr:spPr>
        <a:xfrm>
          <a:off x="3819524" y="504825"/>
          <a:ext cx="10677526" cy="10248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The Pitot</a:t>
          </a:r>
          <a:r>
            <a:rPr lang="en-US" sz="1200" baseline="0"/>
            <a:t> tube was used to traverse the height of the 8-inch ASME flow nozzle.  Mechanical interference in the mounting system prevented measurements in a band below centerline, but measurements were made in the symmetric zone above centerline.  No measurements could be made near the top edge due to the static port striking the edge of the nozzle.  The legs of the Pitot tube projected about 1/4-inch upstream from the downstream edge of the nozzle.  Measurements of dynamic pressure and static pressure were made on a nearby manometer board.  In case the static port pressures were inaccurate, measurements of the tank water level were also made by tape measure.  The water level in the tank is quite turbulent for larger flow rates, so the tank-level measurements are only approximate.</a:t>
          </a:r>
          <a:endParaRPr lang="en-US" sz="1200"/>
        </a:p>
      </xdr:txBody>
    </xdr:sp>
    <xdr:clientData/>
  </xdr:twoCellAnchor>
  <xdr:twoCellAnchor>
    <xdr:from>
      <xdr:col>25</xdr:col>
      <xdr:colOff>121920</xdr:colOff>
      <xdr:row>18</xdr:row>
      <xdr:rowOff>116206</xdr:rowOff>
    </xdr:from>
    <xdr:to>
      <xdr:col>32</xdr:col>
      <xdr:colOff>428625</xdr:colOff>
      <xdr:row>31</xdr:row>
      <xdr:rowOff>66676</xdr:rowOff>
    </xdr:to>
    <xdr:graphicFrame macro="">
      <xdr:nvGraphicFramePr>
        <xdr:cNvPr id="3" name="Chart 2">
          <a:extLst>
            <a:ext uri="{FF2B5EF4-FFF2-40B4-BE49-F238E27FC236}">
              <a16:creationId xmlns:a16="http://schemas.microsoft.com/office/drawing/2014/main" id="{72CC3B84-9BE6-D2B1-A756-8D970C809F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26670</xdr:colOff>
      <xdr:row>33</xdr:row>
      <xdr:rowOff>87629</xdr:rowOff>
    </xdr:from>
    <xdr:to>
      <xdr:col>10</xdr:col>
      <xdr:colOff>725805</xdr:colOff>
      <xdr:row>50</xdr:row>
      <xdr:rowOff>13334</xdr:rowOff>
    </xdr:to>
    <xdr:graphicFrame macro="">
      <xdr:nvGraphicFramePr>
        <xdr:cNvPr id="6" name="Chart 5">
          <a:extLst>
            <a:ext uri="{FF2B5EF4-FFF2-40B4-BE49-F238E27FC236}">
              <a16:creationId xmlns:a16="http://schemas.microsoft.com/office/drawing/2014/main" id="{FF3AD7B3-C3EF-41A6-A5FE-64A361932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182880</xdr:colOff>
      <xdr:row>34</xdr:row>
      <xdr:rowOff>81915</xdr:rowOff>
    </xdr:from>
    <xdr:to>
      <xdr:col>13</xdr:col>
      <xdr:colOff>859155</xdr:colOff>
      <xdr:row>49</xdr:row>
      <xdr:rowOff>110490</xdr:rowOff>
    </xdr:to>
    <xdr:graphicFrame macro="">
      <xdr:nvGraphicFramePr>
        <xdr:cNvPr id="4" name="Chart 3">
          <a:extLst>
            <a:ext uri="{FF2B5EF4-FFF2-40B4-BE49-F238E27FC236}">
              <a16:creationId xmlns:a16="http://schemas.microsoft.com/office/drawing/2014/main" id="{59B41CC8-CB82-4CFB-99A1-33F092592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34</xdr:row>
      <xdr:rowOff>0</xdr:rowOff>
    </xdr:from>
    <xdr:to>
      <xdr:col>19</xdr:col>
      <xdr:colOff>83820</xdr:colOff>
      <xdr:row>49</xdr:row>
      <xdr:rowOff>26670</xdr:rowOff>
    </xdr:to>
    <xdr:graphicFrame macro="">
      <xdr:nvGraphicFramePr>
        <xdr:cNvPr id="5" name="Chart 4">
          <a:extLst>
            <a:ext uri="{FF2B5EF4-FFF2-40B4-BE49-F238E27FC236}">
              <a16:creationId xmlns:a16="http://schemas.microsoft.com/office/drawing/2014/main" id="{06764D15-FBDD-4C44-88CE-73A0E1745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565784</xdr:colOff>
      <xdr:row>83</xdr:row>
      <xdr:rowOff>66676</xdr:rowOff>
    </xdr:from>
    <xdr:to>
      <xdr:col>13</xdr:col>
      <xdr:colOff>221283</xdr:colOff>
      <xdr:row>112</xdr:row>
      <xdr:rowOff>87630</xdr:rowOff>
    </xdr:to>
    <xdr:pic>
      <xdr:nvPicPr>
        <xdr:cNvPr id="7" name="Picture 6">
          <a:extLst>
            <a:ext uri="{FF2B5EF4-FFF2-40B4-BE49-F238E27FC236}">
              <a16:creationId xmlns:a16="http://schemas.microsoft.com/office/drawing/2014/main" id="{CF05F86E-593A-BC34-9311-308A2117F734}"/>
            </a:ext>
          </a:extLst>
        </xdr:cNvPr>
        <xdr:cNvPicPr>
          <a:picLocks noChangeAspect="1"/>
        </xdr:cNvPicPr>
      </xdr:nvPicPr>
      <xdr:blipFill rotWithShape="1">
        <a:blip xmlns:r="http://schemas.openxmlformats.org/officeDocument/2006/relationships" r:embed="rId5"/>
        <a:srcRect l="20571" t="23792" r="24052" b="12599"/>
        <a:stretch/>
      </xdr:blipFill>
      <xdr:spPr>
        <a:xfrm>
          <a:off x="2394584" y="12630151"/>
          <a:ext cx="7618399" cy="5278754"/>
        </a:xfrm>
        <a:prstGeom prst="rect">
          <a:avLst/>
        </a:prstGeom>
      </xdr:spPr>
    </xdr:pic>
    <xdr:clientData/>
  </xdr:twoCellAnchor>
  <xdr:twoCellAnchor>
    <xdr:from>
      <xdr:col>4</xdr:col>
      <xdr:colOff>466725</xdr:colOff>
      <xdr:row>51</xdr:row>
      <xdr:rowOff>19051</xdr:rowOff>
    </xdr:from>
    <xdr:to>
      <xdr:col>9</xdr:col>
      <xdr:colOff>556260</xdr:colOff>
      <xdr:row>67</xdr:row>
      <xdr:rowOff>133351</xdr:rowOff>
    </xdr:to>
    <xdr:graphicFrame macro="">
      <xdr:nvGraphicFramePr>
        <xdr:cNvPr id="8" name="Chart 7">
          <a:extLst>
            <a:ext uri="{FF2B5EF4-FFF2-40B4-BE49-F238E27FC236}">
              <a16:creationId xmlns:a16="http://schemas.microsoft.com/office/drawing/2014/main" id="{5C6FFED4-45F8-4275-A855-0E411C99F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390525</xdr:colOff>
      <xdr:row>51</xdr:row>
      <xdr:rowOff>66675</xdr:rowOff>
    </xdr:from>
    <xdr:to>
      <xdr:col>20</xdr:col>
      <xdr:colOff>523875</xdr:colOff>
      <xdr:row>66</xdr:row>
      <xdr:rowOff>169545</xdr:rowOff>
    </xdr:to>
    <xdr:graphicFrame macro="">
      <xdr:nvGraphicFramePr>
        <xdr:cNvPr id="9" name="Chart 8">
          <a:extLst>
            <a:ext uri="{FF2B5EF4-FFF2-40B4-BE49-F238E27FC236}">
              <a16:creationId xmlns:a16="http://schemas.microsoft.com/office/drawing/2014/main" id="{1C6EBAB6-6C89-4195-836C-0B77CD93D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30</xdr:col>
      <xdr:colOff>295275</xdr:colOff>
      <xdr:row>61</xdr:row>
      <xdr:rowOff>104775</xdr:rowOff>
    </xdr:from>
    <xdr:to>
      <xdr:col>35</xdr:col>
      <xdr:colOff>400050</xdr:colOff>
      <xdr:row>76</xdr:row>
      <xdr:rowOff>36195</xdr:rowOff>
    </xdr:to>
    <xdr:graphicFrame macro="">
      <xdr:nvGraphicFramePr>
        <xdr:cNvPr id="10" name="Chart 9">
          <a:extLst>
            <a:ext uri="{FF2B5EF4-FFF2-40B4-BE49-F238E27FC236}">
              <a16:creationId xmlns:a16="http://schemas.microsoft.com/office/drawing/2014/main" id="{D8A2DC3D-DC43-4C95-8CB4-FA08DF9E7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66675</xdr:colOff>
      <xdr:row>81</xdr:row>
      <xdr:rowOff>66675</xdr:rowOff>
    </xdr:from>
    <xdr:to>
      <xdr:col>34</xdr:col>
      <xdr:colOff>552450</xdr:colOff>
      <xdr:row>90</xdr:row>
      <xdr:rowOff>0</xdr:rowOff>
    </xdr:to>
    <xdr:sp macro="" textlink="">
      <xdr:nvSpPr>
        <xdr:cNvPr id="12" name="TextBox 11">
          <a:extLst>
            <a:ext uri="{FF2B5EF4-FFF2-40B4-BE49-F238E27FC236}">
              <a16:creationId xmlns:a16="http://schemas.microsoft.com/office/drawing/2014/main" id="{99748C96-68DA-630A-4FED-5C1DAEA2E122}"/>
            </a:ext>
          </a:extLst>
        </xdr:cNvPr>
        <xdr:cNvSpPr txBox="1"/>
      </xdr:nvSpPr>
      <xdr:spPr>
        <a:xfrm>
          <a:off x="20516850" y="17173575"/>
          <a:ext cx="3724275" cy="1647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This gives a great fit to</a:t>
          </a:r>
          <a:r>
            <a:rPr lang="en-US" sz="1600" baseline="0"/>
            <a:t> the observed data but is not something that can be directly integrated to get the total discharge.</a:t>
          </a:r>
          <a:endParaRPr lang="en-US" sz="16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0.10862</cdr:x>
      <cdr:y>0.43597</cdr:y>
    </cdr:from>
    <cdr:to>
      <cdr:x>0.16607</cdr:x>
      <cdr:y>0.6065</cdr:y>
    </cdr:to>
    <cdr:sp macro="" textlink="">
      <cdr:nvSpPr>
        <cdr:cNvPr id="2" name="TextBox 1">
          <a:extLst xmlns:a="http://schemas.openxmlformats.org/drawingml/2006/main">
            <a:ext uri="{FF2B5EF4-FFF2-40B4-BE49-F238E27FC236}">
              <a16:creationId xmlns:a16="http://schemas.microsoft.com/office/drawing/2014/main" id="{3D2AD572-127D-728D-120E-A21159009157}"/>
            </a:ext>
          </a:extLst>
        </cdr:cNvPr>
        <cdr:cNvSpPr txBox="1"/>
      </cdr:nvSpPr>
      <cdr:spPr>
        <a:xfrm xmlns:a="http://schemas.openxmlformats.org/drawingml/2006/main" rot="16200000">
          <a:off x="476251" y="1390650"/>
          <a:ext cx="504825" cy="3048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wall</a:t>
          </a:r>
        </a:p>
      </cdr:txBody>
    </cdr:sp>
  </cdr:relSizeAnchor>
  <cdr:relSizeAnchor xmlns:cdr="http://schemas.openxmlformats.org/drawingml/2006/chartDrawing">
    <cdr:from>
      <cdr:x>0.92789</cdr:x>
      <cdr:y>0.44348</cdr:y>
    </cdr:from>
    <cdr:to>
      <cdr:x>0.98534</cdr:x>
      <cdr:y>0.61401</cdr:y>
    </cdr:to>
    <cdr:sp macro="" textlink="">
      <cdr:nvSpPr>
        <cdr:cNvPr id="3" name="TextBox 1">
          <a:extLst xmlns:a="http://schemas.openxmlformats.org/drawingml/2006/main">
            <a:ext uri="{FF2B5EF4-FFF2-40B4-BE49-F238E27FC236}">
              <a16:creationId xmlns:a16="http://schemas.microsoft.com/office/drawing/2014/main" id="{046A7B18-F219-3654-62B2-7A1FFAAFB561}"/>
            </a:ext>
          </a:extLst>
        </cdr:cNvPr>
        <cdr:cNvSpPr txBox="1"/>
      </cdr:nvSpPr>
      <cdr:spPr>
        <a:xfrm xmlns:a="http://schemas.openxmlformats.org/drawingml/2006/main" rot="16200000">
          <a:off x="4822826" y="1412875"/>
          <a:ext cx="504825" cy="3048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centerline</a:t>
          </a:r>
        </a:p>
      </cdr:txBody>
    </cdr:sp>
  </cdr:relSizeAnchor>
</c:userShapes>
</file>

<file path=xl/drawings/drawing4.xml><?xml version="1.0" encoding="utf-8"?>
<c:userShapes xmlns:c="http://schemas.openxmlformats.org/drawingml/2006/chart">
  <cdr:relSizeAnchor xmlns:cdr="http://schemas.openxmlformats.org/drawingml/2006/chartDrawing">
    <cdr:from>
      <cdr:x>0.10862</cdr:x>
      <cdr:y>0.43597</cdr:y>
    </cdr:from>
    <cdr:to>
      <cdr:x>0.16607</cdr:x>
      <cdr:y>0.6065</cdr:y>
    </cdr:to>
    <cdr:sp macro="" textlink="">
      <cdr:nvSpPr>
        <cdr:cNvPr id="2" name="TextBox 1">
          <a:extLst xmlns:a="http://schemas.openxmlformats.org/drawingml/2006/main">
            <a:ext uri="{FF2B5EF4-FFF2-40B4-BE49-F238E27FC236}">
              <a16:creationId xmlns:a16="http://schemas.microsoft.com/office/drawing/2014/main" id="{3D2AD572-127D-728D-120E-A21159009157}"/>
            </a:ext>
          </a:extLst>
        </cdr:cNvPr>
        <cdr:cNvSpPr txBox="1"/>
      </cdr:nvSpPr>
      <cdr:spPr>
        <a:xfrm xmlns:a="http://schemas.openxmlformats.org/drawingml/2006/main" rot="16200000">
          <a:off x="476251" y="1390650"/>
          <a:ext cx="504825" cy="3048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wall</a:t>
          </a:r>
        </a:p>
      </cdr:txBody>
    </cdr:sp>
  </cdr:relSizeAnchor>
  <cdr:relSizeAnchor xmlns:cdr="http://schemas.openxmlformats.org/drawingml/2006/chartDrawing">
    <cdr:from>
      <cdr:x>0.92789</cdr:x>
      <cdr:y>0.44348</cdr:y>
    </cdr:from>
    <cdr:to>
      <cdr:x>0.98534</cdr:x>
      <cdr:y>0.61401</cdr:y>
    </cdr:to>
    <cdr:sp macro="" textlink="">
      <cdr:nvSpPr>
        <cdr:cNvPr id="3" name="TextBox 1">
          <a:extLst xmlns:a="http://schemas.openxmlformats.org/drawingml/2006/main">
            <a:ext uri="{FF2B5EF4-FFF2-40B4-BE49-F238E27FC236}">
              <a16:creationId xmlns:a16="http://schemas.microsoft.com/office/drawing/2014/main" id="{046A7B18-F219-3654-62B2-7A1FFAAFB561}"/>
            </a:ext>
          </a:extLst>
        </cdr:cNvPr>
        <cdr:cNvSpPr txBox="1"/>
      </cdr:nvSpPr>
      <cdr:spPr>
        <a:xfrm xmlns:a="http://schemas.openxmlformats.org/drawingml/2006/main" rot="16200000">
          <a:off x="4822826" y="1412875"/>
          <a:ext cx="504825" cy="3048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centerline</a:t>
          </a: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D:\Spillway%20Joints\Reports-Papers\Closeout%202024\RISE%20data,%20Oroville%20case%20studies.xlsx" TargetMode="External"/><Relationship Id="rId1" Type="http://schemas.openxmlformats.org/officeDocument/2006/relationships/externalLinkPath" Target="RISE%20data,%20Oroville%20case%20studie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Spillway%20Joints\Reports-Papers\Closeout%202024\RISE%20data,%20Spillway%20uplift%20testing.xlsx" TargetMode="External"/><Relationship Id="rId1" Type="http://schemas.openxmlformats.org/officeDocument/2006/relationships/externalLinkPath" Target="RISE%20data,%20Spillway%20uplift%20test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JHE2"/>
      <sheetName val="EM46"/>
    </sheetNames>
    <sheetDataSet>
      <sheetData sheetId="0" refreshError="1"/>
      <sheetData sheetId="1" refreshError="1"/>
      <sheetData sheetId="2">
        <row r="2">
          <cell r="C2">
            <v>32.17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Sheet1"/>
      <sheetName val="JHE1 TABLE"/>
      <sheetName val="JHE2 table"/>
      <sheetName val="JHE3 TABLEs"/>
      <sheetName val="BetaCurveFits"/>
      <sheetName val="Attached_v_Detached"/>
      <sheetName val="Tilted"/>
      <sheetName val="relief"/>
      <sheetName val="skewed"/>
      <sheetName val="chamfer"/>
      <sheetName val="LatProfile"/>
      <sheetName val="90-V"/>
      <sheetName val="Gaps"/>
      <sheetName val="skew-tilt"/>
      <sheetName val="curve study"/>
      <sheetName val="apply"/>
      <sheetName val="QC"/>
    </sheetNames>
    <sheetDataSet>
      <sheetData sheetId="0"/>
      <sheetData sheetId="1">
        <row r="3">
          <cell r="T3">
            <v>1.2E-5</v>
          </cell>
        </row>
        <row r="5">
          <cell r="J5">
            <v>0.26179938779914941</v>
          </cell>
        </row>
        <row r="6">
          <cell r="G6">
            <v>5.95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rise.bor.doi.net/admin/rise/catalog-record/view/8049"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299EF-0CD7-4A87-AD7E-8D3B530740AD}">
  <dimension ref="A1:B14"/>
  <sheetViews>
    <sheetView tabSelected="1" workbookViewId="0">
      <selection activeCell="B6" sqref="B6:B8"/>
    </sheetView>
  </sheetViews>
  <sheetFormatPr defaultRowHeight="15" x14ac:dyDescent="0.25"/>
  <cols>
    <col min="1" max="1" width="22.140625" customWidth="1"/>
    <col min="2" max="2" width="10.7109375" bestFit="1" customWidth="1"/>
  </cols>
  <sheetData>
    <row r="1" spans="1:2" ht="18.75" x14ac:dyDescent="0.3">
      <c r="A1" s="43" t="s">
        <v>72</v>
      </c>
    </row>
    <row r="3" spans="1:2" x14ac:dyDescent="0.25">
      <c r="A3" s="44" t="s">
        <v>73</v>
      </c>
      <c r="B3" t="s">
        <v>74</v>
      </c>
    </row>
    <row r="4" spans="1:2" x14ac:dyDescent="0.25">
      <c r="A4" s="44" t="s">
        <v>75</v>
      </c>
      <c r="B4" t="s">
        <v>76</v>
      </c>
    </row>
    <row r="5" spans="1:2" x14ac:dyDescent="0.25">
      <c r="A5" s="44" t="s">
        <v>77</v>
      </c>
      <c r="B5" s="45">
        <v>45565</v>
      </c>
    </row>
    <row r="6" spans="1:2" x14ac:dyDescent="0.25">
      <c r="A6" s="46" t="s">
        <v>78</v>
      </c>
      <c r="B6" s="47" t="s">
        <v>89</v>
      </c>
    </row>
    <row r="7" spans="1:2" x14ac:dyDescent="0.25">
      <c r="A7" s="48" t="s">
        <v>79</v>
      </c>
      <c r="B7" s="49" t="s">
        <v>90</v>
      </c>
    </row>
    <row r="8" spans="1:2" x14ac:dyDescent="0.25">
      <c r="A8" s="48" t="s">
        <v>80</v>
      </c>
      <c r="B8" s="49" t="s">
        <v>91</v>
      </c>
    </row>
    <row r="9" spans="1:2" x14ac:dyDescent="0.25">
      <c r="A9" s="44" t="s">
        <v>81</v>
      </c>
      <c r="B9" s="1" t="s">
        <v>85</v>
      </c>
    </row>
    <row r="10" spans="1:2" x14ac:dyDescent="0.25">
      <c r="A10" s="44"/>
      <c r="B10" s="1"/>
    </row>
    <row r="11" spans="1:2" x14ac:dyDescent="0.25">
      <c r="A11" s="44" t="s">
        <v>82</v>
      </c>
      <c r="B11" s="1" t="s">
        <v>86</v>
      </c>
    </row>
    <row r="12" spans="1:2" x14ac:dyDescent="0.25">
      <c r="A12" s="44" t="s">
        <v>83</v>
      </c>
      <c r="B12" s="50" t="s">
        <v>87</v>
      </c>
    </row>
    <row r="13" spans="1:2" x14ac:dyDescent="0.25">
      <c r="A13" s="44" t="s">
        <v>84</v>
      </c>
      <c r="B13" s="1" t="s">
        <v>88</v>
      </c>
    </row>
    <row r="14" spans="1:2" x14ac:dyDescent="0.25">
      <c r="A14" s="44"/>
    </row>
  </sheetData>
  <hyperlinks>
    <hyperlink ref="B6" r:id="rId1" display="https://rise.bor.doi.net/admin/rise/catalog-record/view/8049" xr:uid="{CB015F72-D296-4C7D-8682-3DCC230EFD6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EA74F-C32E-4415-AD0B-42138440F27D}">
  <dimension ref="A1:AJ93"/>
  <sheetViews>
    <sheetView workbookViewId="0"/>
  </sheetViews>
  <sheetFormatPr defaultRowHeight="15" x14ac:dyDescent="0.25"/>
  <cols>
    <col min="8" max="8" width="10.85546875" customWidth="1"/>
    <col min="11" max="11" width="19.140625" customWidth="1"/>
    <col min="12" max="12" width="24.28515625" customWidth="1"/>
    <col min="13" max="13" width="8.42578125" customWidth="1"/>
    <col min="14" max="14" width="14.28515625" customWidth="1"/>
    <col min="16" max="16" width="14.7109375" customWidth="1"/>
    <col min="19" max="19" width="12" customWidth="1"/>
    <col min="22" max="22" width="11" bestFit="1" customWidth="1"/>
    <col min="25" max="26" width="12" bestFit="1" customWidth="1"/>
    <col min="31" max="31" width="12" bestFit="1" customWidth="1"/>
  </cols>
  <sheetData>
    <row r="1" spans="1:18" ht="28.5" x14ac:dyDescent="0.45">
      <c r="A1" s="14" t="s">
        <v>35</v>
      </c>
    </row>
    <row r="4" spans="1:18" x14ac:dyDescent="0.25">
      <c r="A4" t="s">
        <v>14</v>
      </c>
      <c r="C4">
        <v>8</v>
      </c>
      <c r="D4" t="s">
        <v>6</v>
      </c>
    </row>
    <row r="5" spans="1:18" ht="17.25" x14ac:dyDescent="0.25">
      <c r="B5" t="s">
        <v>15</v>
      </c>
      <c r="C5">
        <f>PI()*(C4/12)^2/4</f>
        <v>0.3490658503988659</v>
      </c>
      <c r="D5" s="1" t="s">
        <v>16</v>
      </c>
    </row>
    <row r="7" spans="1:18" x14ac:dyDescent="0.25">
      <c r="A7" s="1" t="s">
        <v>18</v>
      </c>
      <c r="E7">
        <v>1.57</v>
      </c>
      <c r="F7" t="s">
        <v>1</v>
      </c>
    </row>
    <row r="8" spans="1:18" x14ac:dyDescent="0.25">
      <c r="A8" t="s">
        <v>27</v>
      </c>
      <c r="E8">
        <v>5.1999999999999998E-2</v>
      </c>
      <c r="F8" t="s">
        <v>6</v>
      </c>
    </row>
    <row r="9" spans="1:18" x14ac:dyDescent="0.25">
      <c r="A9" t="s">
        <v>28</v>
      </c>
      <c r="I9">
        <v>14.19</v>
      </c>
      <c r="J9" t="s">
        <v>29</v>
      </c>
    </row>
    <row r="10" spans="1:18" x14ac:dyDescent="0.25">
      <c r="A10" s="1" t="s">
        <v>30</v>
      </c>
      <c r="I10">
        <f>-(4-0.052/2)</f>
        <v>-3.9740000000000002</v>
      </c>
      <c r="J10" t="s">
        <v>6</v>
      </c>
    </row>
    <row r="11" spans="1:18" x14ac:dyDescent="0.25">
      <c r="A11" t="s">
        <v>31</v>
      </c>
      <c r="I11" s="15">
        <f>I9-I10*2.54</f>
        <v>24.28396</v>
      </c>
      <c r="J11" t="s">
        <v>29</v>
      </c>
    </row>
    <row r="12" spans="1:18" x14ac:dyDescent="0.25">
      <c r="A12" t="s">
        <v>33</v>
      </c>
      <c r="I12">
        <v>33.29</v>
      </c>
      <c r="J12" t="s">
        <v>29</v>
      </c>
    </row>
    <row r="13" spans="1:18" x14ac:dyDescent="0.25">
      <c r="A13" t="s">
        <v>34</v>
      </c>
    </row>
    <row r="15" spans="1:18" ht="57" x14ac:dyDescent="0.25">
      <c r="M15" s="13" t="s">
        <v>26</v>
      </c>
      <c r="N15" s="13" t="s">
        <v>24</v>
      </c>
      <c r="P15" s="13" t="s">
        <v>22</v>
      </c>
      <c r="R15" s="13" t="s">
        <v>37</v>
      </c>
    </row>
    <row r="16" spans="1:18" x14ac:dyDescent="0.25">
      <c r="N16" s="27"/>
      <c r="O16" s="27"/>
      <c r="P16" s="28"/>
      <c r="Q16" s="28"/>
    </row>
    <row r="17" spans="1:23" ht="61.5" x14ac:dyDescent="0.35">
      <c r="A17" s="5" t="s">
        <v>0</v>
      </c>
      <c r="B17" s="4" t="s">
        <v>2</v>
      </c>
      <c r="C17" s="5" t="s">
        <v>8</v>
      </c>
      <c r="D17" s="5" t="s">
        <v>11</v>
      </c>
      <c r="E17" s="5" t="s">
        <v>45</v>
      </c>
      <c r="F17" s="5" t="s">
        <v>17</v>
      </c>
      <c r="G17" s="5" t="s">
        <v>32</v>
      </c>
      <c r="H17" s="5" t="s">
        <v>38</v>
      </c>
      <c r="I17" s="5" t="s">
        <v>10</v>
      </c>
      <c r="J17" s="5" t="s">
        <v>9</v>
      </c>
      <c r="K17" s="6" t="s">
        <v>3</v>
      </c>
      <c r="L17" s="5" t="s">
        <v>5</v>
      </c>
      <c r="M17" s="5" t="s">
        <v>20</v>
      </c>
      <c r="N17" s="5" t="s">
        <v>23</v>
      </c>
      <c r="O17" s="6" t="s">
        <v>19</v>
      </c>
      <c r="P17" s="5" t="s">
        <v>21</v>
      </c>
      <c r="Q17" s="6" t="s">
        <v>19</v>
      </c>
      <c r="R17" s="5" t="s">
        <v>36</v>
      </c>
      <c r="S17" s="5" t="s">
        <v>52</v>
      </c>
      <c r="T17" t="s">
        <v>48</v>
      </c>
      <c r="U17" s="6" t="s">
        <v>46</v>
      </c>
      <c r="V17" t="s">
        <v>59</v>
      </c>
      <c r="W17" t="s">
        <v>60</v>
      </c>
    </row>
    <row r="18" spans="1:23" ht="15.75" thickBot="1" x14ac:dyDescent="0.3">
      <c r="A18" s="7"/>
      <c r="B18" s="8"/>
      <c r="C18" s="9" t="s">
        <v>7</v>
      </c>
      <c r="D18" s="9" t="s">
        <v>12</v>
      </c>
      <c r="E18" s="9" t="s">
        <v>13</v>
      </c>
      <c r="F18" s="9" t="s">
        <v>1</v>
      </c>
      <c r="G18" s="9" t="s">
        <v>29</v>
      </c>
      <c r="H18" s="9" t="s">
        <v>39</v>
      </c>
      <c r="I18" s="9" t="s">
        <v>1</v>
      </c>
      <c r="J18" s="9" t="s">
        <v>1</v>
      </c>
      <c r="K18" s="9" t="s">
        <v>6</v>
      </c>
      <c r="L18" s="10" t="s">
        <v>1</v>
      </c>
      <c r="M18" s="10" t="s">
        <v>25</v>
      </c>
      <c r="N18" s="9" t="s">
        <v>1</v>
      </c>
      <c r="O18" s="10" t="s">
        <v>25</v>
      </c>
      <c r="P18" s="9" t="s">
        <v>1</v>
      </c>
      <c r="Q18" s="10" t="s">
        <v>25</v>
      </c>
      <c r="R18" s="10" t="s">
        <v>25</v>
      </c>
    </row>
    <row r="19" spans="1:23" x14ac:dyDescent="0.25">
      <c r="A19" t="s">
        <v>4</v>
      </c>
      <c r="B19">
        <v>0.18565000000000001</v>
      </c>
      <c r="C19" s="2">
        <v>417.29</v>
      </c>
      <c r="D19" s="11">
        <f t="shared" ref="D19" si="0">B19*SQRT(C19)</f>
        <v>3.7923982913223924</v>
      </c>
      <c r="E19" s="11">
        <f t="shared" ref="E19" si="1">D19/$C$5</f>
        <v>10.864420816269897</v>
      </c>
      <c r="F19" s="11">
        <f t="shared" ref="F19" si="2">E19^2/32.17/2</f>
        <v>1.8345607658221736</v>
      </c>
      <c r="G19" s="16">
        <v>24.28</v>
      </c>
      <c r="H19" s="11">
        <f>(4-ABS(G19-$I$11)/2.54)/4</f>
        <v>0.99961023622047251</v>
      </c>
      <c r="I19" s="18">
        <v>1.3280000000000001</v>
      </c>
      <c r="J19" s="17">
        <v>3.3149999999999999</v>
      </c>
      <c r="K19">
        <v>-3.25</v>
      </c>
      <c r="L19" s="3">
        <f t="shared" ref="L19" si="3">$E$7+K19/12</f>
        <v>1.2991666666666668</v>
      </c>
      <c r="M19" s="12">
        <f>E19*0.052/12/0.0000106</f>
        <v>4441.4298934436683</v>
      </c>
      <c r="N19" s="3">
        <f>J19-I19</f>
        <v>1.9869999999999999</v>
      </c>
      <c r="O19">
        <f>N19/F19</f>
        <v>1.0830930416793849</v>
      </c>
      <c r="P19" s="3">
        <f>J19-L19-0.0204</f>
        <v>1.9954333333333332</v>
      </c>
      <c r="Q19">
        <f>P19/F19</f>
        <v>1.0876899640002184</v>
      </c>
      <c r="R19">
        <f>AVERAGE(O19,Q19)</f>
        <v>1.0853915028398018</v>
      </c>
      <c r="S19">
        <f>SQRT(R19)</f>
        <v>1.0418212432273599</v>
      </c>
      <c r="T19">
        <f>H19*$C$4/2/12</f>
        <v>0.33320341207349086</v>
      </c>
      <c r="U19">
        <f t="shared" ref="U19:U32" si="4">SQRT(R19)*E19</f>
        <v>11.318784401751513</v>
      </c>
      <c r="V19">
        <f>T19/(1/3)</f>
        <v>0.99961023622047263</v>
      </c>
      <c r="W19">
        <f>U19/$E$19</f>
        <v>1.0418212432273599</v>
      </c>
    </row>
    <row r="20" spans="1:23" x14ac:dyDescent="0.25">
      <c r="A20" t="s">
        <v>4</v>
      </c>
      <c r="B20">
        <v>0.18565000000000001</v>
      </c>
      <c r="C20" s="2">
        <v>417.29</v>
      </c>
      <c r="D20" s="11">
        <f t="shared" ref="D20:D22" si="5">B20*SQRT(C20)</f>
        <v>3.7923982913223924</v>
      </c>
      <c r="E20" s="11">
        <f t="shared" ref="E20:E22" si="6">D20/$C$5</f>
        <v>10.864420816269897</v>
      </c>
      <c r="F20" s="11">
        <f t="shared" ref="F20:F22" si="7">E20^2/32.17/2</f>
        <v>1.8345607658221736</v>
      </c>
      <c r="G20" s="16">
        <v>24</v>
      </c>
      <c r="H20" s="11">
        <f t="shared" ref="H20:H32" si="8">(4-ABS(G20-$I$11)/2.54)/4</f>
        <v>0.97205118110236222</v>
      </c>
      <c r="I20" s="18">
        <v>1.3280000000000001</v>
      </c>
      <c r="J20" s="17">
        <v>3.3149999999999999</v>
      </c>
      <c r="K20">
        <v>-3.25</v>
      </c>
      <c r="L20" s="3">
        <f t="shared" ref="L20:L22" si="9">$E$7+K20/12</f>
        <v>1.2991666666666668</v>
      </c>
      <c r="M20" s="12">
        <f t="shared" ref="M20:M22" si="10">E20*0.052/12/0.0000106</f>
        <v>4441.4298934436683</v>
      </c>
      <c r="N20" s="3">
        <f t="shared" ref="N20:N22" si="11">J20-I20</f>
        <v>1.9869999999999999</v>
      </c>
      <c r="O20">
        <f t="shared" ref="O20:O22" si="12">N20/F20</f>
        <v>1.0830930416793849</v>
      </c>
      <c r="P20" s="3">
        <f t="shared" ref="P20:P22" si="13">J20-L20-0.0204</f>
        <v>1.9954333333333332</v>
      </c>
      <c r="Q20">
        <f t="shared" ref="Q20:Q21" si="14">P20/F20</f>
        <v>1.0876899640002184</v>
      </c>
      <c r="R20">
        <f t="shared" ref="R20:R32" si="15">AVERAGE(O20,Q20)</f>
        <v>1.0853915028398018</v>
      </c>
      <c r="S20">
        <f t="shared" ref="S20:S32" si="16">SQRT(R20)</f>
        <v>1.0418212432273599</v>
      </c>
      <c r="T20">
        <f t="shared" ref="T20:T32" si="17">H20*$C$4/2/12</f>
        <v>0.32401706036745409</v>
      </c>
      <c r="U20">
        <f t="shared" si="4"/>
        <v>11.318784401751513</v>
      </c>
      <c r="V20">
        <f t="shared" ref="V20:V32" si="18">T20/(1/3)</f>
        <v>0.97205118110236233</v>
      </c>
      <c r="W20">
        <f t="shared" ref="W20:W32" si="19">U20/$E$19</f>
        <v>1.0418212432273599</v>
      </c>
    </row>
    <row r="21" spans="1:23" x14ac:dyDescent="0.25">
      <c r="A21" t="s">
        <v>4</v>
      </c>
      <c r="B21">
        <v>0.18565000000000001</v>
      </c>
      <c r="C21" s="2">
        <v>417.29</v>
      </c>
      <c r="D21" s="11">
        <f t="shared" si="5"/>
        <v>3.7923982913223924</v>
      </c>
      <c r="E21" s="11">
        <f t="shared" si="6"/>
        <v>10.864420816269897</v>
      </c>
      <c r="F21" s="11">
        <f t="shared" si="7"/>
        <v>1.8345607658221736</v>
      </c>
      <c r="G21" s="16">
        <v>21.5</v>
      </c>
      <c r="H21" s="11">
        <f t="shared" si="8"/>
        <v>0.72598818897637796</v>
      </c>
      <c r="I21" s="18">
        <v>1.333</v>
      </c>
      <c r="J21" s="17">
        <v>3.2919999999999998</v>
      </c>
      <c r="K21">
        <v>-3.25</v>
      </c>
      <c r="L21" s="3">
        <f t="shared" si="9"/>
        <v>1.2991666666666668</v>
      </c>
      <c r="M21" s="12">
        <f t="shared" si="10"/>
        <v>4441.4298934436683</v>
      </c>
      <c r="N21" s="3">
        <f t="shared" si="11"/>
        <v>1.9589999999999999</v>
      </c>
      <c r="O21">
        <f t="shared" si="12"/>
        <v>1.0678305327880802</v>
      </c>
      <c r="P21" s="3">
        <f t="shared" si="13"/>
        <v>1.972433333333333</v>
      </c>
      <c r="Q21">
        <f t="shared" si="14"/>
        <v>1.0751529031252178</v>
      </c>
      <c r="R21">
        <f t="shared" si="15"/>
        <v>1.071491717956649</v>
      </c>
      <c r="S21">
        <f t="shared" si="16"/>
        <v>1.0351288412350652</v>
      </c>
      <c r="T21">
        <f t="shared" si="17"/>
        <v>0.24199606299212598</v>
      </c>
      <c r="U21">
        <f t="shared" si="4"/>
        <v>11.24607533023558</v>
      </c>
      <c r="V21">
        <f t="shared" si="18"/>
        <v>0.72598818897637796</v>
      </c>
      <c r="W21">
        <f t="shared" si="19"/>
        <v>1.0351288412350652</v>
      </c>
    </row>
    <row r="22" spans="1:23" x14ac:dyDescent="0.25">
      <c r="A22" t="s">
        <v>4</v>
      </c>
      <c r="B22">
        <v>0.18565000000000001</v>
      </c>
      <c r="C22" s="2">
        <v>417.29</v>
      </c>
      <c r="D22" s="11">
        <f t="shared" si="5"/>
        <v>3.7923982913223924</v>
      </c>
      <c r="E22" s="11">
        <f t="shared" si="6"/>
        <v>10.864420816269897</v>
      </c>
      <c r="F22" s="11">
        <f t="shared" si="7"/>
        <v>1.8345607658221736</v>
      </c>
      <c r="G22" s="16">
        <v>17.2</v>
      </c>
      <c r="H22" s="11">
        <f t="shared" si="8"/>
        <v>0.30275984251968491</v>
      </c>
      <c r="I22" s="18">
        <v>1.355</v>
      </c>
      <c r="J22" s="17">
        <v>3.2120000000000002</v>
      </c>
      <c r="K22">
        <v>-3.25</v>
      </c>
      <c r="L22" s="3">
        <f t="shared" si="9"/>
        <v>1.2991666666666668</v>
      </c>
      <c r="M22" s="12">
        <f t="shared" si="10"/>
        <v>4441.4298934436683</v>
      </c>
      <c r="N22" s="3">
        <f t="shared" si="11"/>
        <v>1.8570000000000002</v>
      </c>
      <c r="O22">
        <f t="shared" si="12"/>
        <v>1.0122313932554696</v>
      </c>
      <c r="P22" s="3">
        <f t="shared" si="13"/>
        <v>1.8924333333333334</v>
      </c>
      <c r="Q22" s="20" t="e">
        <f>NA()</f>
        <v>#N/A</v>
      </c>
      <c r="R22">
        <f>O22</f>
        <v>1.0122313932554696</v>
      </c>
      <c r="S22">
        <f t="shared" si="16"/>
        <v>1.0060971092570883</v>
      </c>
      <c r="T22">
        <f t="shared" si="17"/>
        <v>0.10091994750656164</v>
      </c>
      <c r="U22">
        <f t="shared" si="4"/>
        <v>10.93066237700168</v>
      </c>
      <c r="V22">
        <f t="shared" si="18"/>
        <v>0.30275984251968491</v>
      </c>
      <c r="W22">
        <f t="shared" si="19"/>
        <v>1.0060971092570883</v>
      </c>
    </row>
    <row r="23" spans="1:23" x14ac:dyDescent="0.25">
      <c r="A23" t="s">
        <v>4</v>
      </c>
      <c r="B23">
        <v>0.18565000000000001</v>
      </c>
      <c r="C23" s="2">
        <v>417.29</v>
      </c>
      <c r="D23" s="11">
        <f t="shared" ref="D23:D32" si="20">B23*SQRT(C23)</f>
        <v>3.7923982913223924</v>
      </c>
      <c r="E23" s="11">
        <f t="shared" ref="E23:E32" si="21">D23/$C$5</f>
        <v>10.864420816269897</v>
      </c>
      <c r="F23" s="11">
        <f t="shared" ref="F23:F32" si="22">E23^2/32.17/2</f>
        <v>1.8345607658221736</v>
      </c>
      <c r="G23" s="16">
        <v>14.5</v>
      </c>
      <c r="H23" s="11">
        <f t="shared" si="8"/>
        <v>3.7011811023622054E-2</v>
      </c>
      <c r="I23" s="18">
        <v>1.35</v>
      </c>
      <c r="J23" s="17">
        <v>2.855</v>
      </c>
      <c r="K23">
        <v>-3.25</v>
      </c>
      <c r="L23" s="3">
        <f t="shared" ref="L23:L32" si="23">$E$7+K23/12</f>
        <v>1.2991666666666668</v>
      </c>
      <c r="M23" s="12">
        <f t="shared" ref="M23:M32" si="24">E23*0.052/12/0.0000106</f>
        <v>4441.4298934436683</v>
      </c>
      <c r="N23" s="3">
        <f t="shared" ref="N23:N32" si="25">J23-I23</f>
        <v>1.5049999999999999</v>
      </c>
      <c r="O23">
        <f t="shared" ref="O23:O32" si="26">N23/F23</f>
        <v>0.8203598529076368</v>
      </c>
      <c r="P23" s="3">
        <f t="shared" ref="P23:P32" si="27">J23-L23-0.0204</f>
        <v>1.5354333333333332</v>
      </c>
      <c r="Q23">
        <f t="shared" ref="Q23:Q32" si="28">P23/F23</f>
        <v>0.83694874650020978</v>
      </c>
      <c r="R23">
        <f t="shared" si="15"/>
        <v>0.82865429970392324</v>
      </c>
      <c r="S23">
        <f t="shared" si="16"/>
        <v>0.9103045093285671</v>
      </c>
      <c r="T23">
        <f t="shared" si="17"/>
        <v>1.2337270341207351E-2</v>
      </c>
      <c r="U23">
        <f t="shared" si="4"/>
        <v>9.8899312602936398</v>
      </c>
      <c r="V23">
        <f t="shared" si="18"/>
        <v>3.7011811023622054E-2</v>
      </c>
      <c r="W23">
        <f t="shared" si="19"/>
        <v>0.91030450932856721</v>
      </c>
    </row>
    <row r="24" spans="1:23" x14ac:dyDescent="0.25">
      <c r="A24" t="s">
        <v>4</v>
      </c>
      <c r="B24">
        <v>0.18565000000000001</v>
      </c>
      <c r="C24" s="2">
        <v>417.29</v>
      </c>
      <c r="D24" s="11">
        <f t="shared" si="20"/>
        <v>3.7923982913223924</v>
      </c>
      <c r="E24" s="11">
        <f t="shared" si="21"/>
        <v>10.864420816269897</v>
      </c>
      <c r="F24" s="11">
        <f t="shared" si="22"/>
        <v>1.8345607658221736</v>
      </c>
      <c r="G24" s="16">
        <v>25</v>
      </c>
      <c r="H24" s="11">
        <f t="shared" si="8"/>
        <v>0.92952362204724415</v>
      </c>
      <c r="I24" s="18">
        <v>1.3220000000000001</v>
      </c>
      <c r="J24" s="17">
        <v>3.3050000000000002</v>
      </c>
      <c r="K24">
        <v>-3.25</v>
      </c>
      <c r="L24" s="3">
        <f t="shared" si="23"/>
        <v>1.2991666666666668</v>
      </c>
      <c r="M24" s="12">
        <f t="shared" si="24"/>
        <v>4441.4298934436683</v>
      </c>
      <c r="N24" s="3">
        <f t="shared" si="25"/>
        <v>1.9830000000000001</v>
      </c>
      <c r="O24">
        <f t="shared" si="26"/>
        <v>1.0809126832663416</v>
      </c>
      <c r="P24" s="3">
        <f t="shared" si="27"/>
        <v>1.9854333333333334</v>
      </c>
      <c r="Q24">
        <f t="shared" si="28"/>
        <v>1.0822390679676097</v>
      </c>
      <c r="R24">
        <f t="shared" si="15"/>
        <v>1.0815758756169758</v>
      </c>
      <c r="S24">
        <f t="shared" si="16"/>
        <v>1.0399884016742571</v>
      </c>
      <c r="T24">
        <f t="shared" si="17"/>
        <v>0.30984120734908138</v>
      </c>
      <c r="U24">
        <f t="shared" si="4"/>
        <v>11.298871639829057</v>
      </c>
      <c r="V24">
        <f t="shared" si="18"/>
        <v>0.92952362204724415</v>
      </c>
      <c r="W24">
        <f t="shared" si="19"/>
        <v>1.0399884016742571</v>
      </c>
    </row>
    <row r="25" spans="1:23" x14ac:dyDescent="0.25">
      <c r="A25" t="s">
        <v>4</v>
      </c>
      <c r="B25">
        <v>0.18565000000000001</v>
      </c>
      <c r="C25" s="2">
        <v>417.29</v>
      </c>
      <c r="D25" s="11">
        <f t="shared" si="20"/>
        <v>3.7923982913223924</v>
      </c>
      <c r="E25" s="11">
        <f t="shared" si="21"/>
        <v>10.864420816269897</v>
      </c>
      <c r="F25" s="11">
        <f t="shared" si="22"/>
        <v>1.8345607658221736</v>
      </c>
      <c r="G25" s="16">
        <v>26</v>
      </c>
      <c r="H25" s="11">
        <f t="shared" si="8"/>
        <v>0.8310984251968504</v>
      </c>
      <c r="I25" s="18">
        <v>1.32</v>
      </c>
      <c r="J25" s="17">
        <v>3.3050000000000002</v>
      </c>
      <c r="K25">
        <v>-3.25</v>
      </c>
      <c r="L25" s="3">
        <f t="shared" si="23"/>
        <v>1.2991666666666668</v>
      </c>
      <c r="M25" s="12">
        <f t="shared" si="24"/>
        <v>4441.4298934436683</v>
      </c>
      <c r="N25" s="3">
        <f t="shared" si="25"/>
        <v>1.9850000000000001</v>
      </c>
      <c r="O25">
        <f t="shared" si="26"/>
        <v>1.0820028624728633</v>
      </c>
      <c r="P25" s="3">
        <f t="shared" si="27"/>
        <v>1.9854333333333334</v>
      </c>
      <c r="Q25">
        <f t="shared" si="28"/>
        <v>1.0822390679676097</v>
      </c>
      <c r="R25">
        <f t="shared" si="15"/>
        <v>1.0821209652202364</v>
      </c>
      <c r="S25">
        <f t="shared" si="16"/>
        <v>1.0402504338957212</v>
      </c>
      <c r="T25">
        <f t="shared" si="17"/>
        <v>0.27703280839895011</v>
      </c>
      <c r="U25">
        <f t="shared" si="4"/>
        <v>11.301718468150467</v>
      </c>
      <c r="V25">
        <f t="shared" si="18"/>
        <v>0.8310984251968504</v>
      </c>
      <c r="W25">
        <f t="shared" si="19"/>
        <v>1.0402504338957212</v>
      </c>
    </row>
    <row r="26" spans="1:23" x14ac:dyDescent="0.25">
      <c r="A26" t="s">
        <v>4</v>
      </c>
      <c r="B26">
        <v>0.18565000000000001</v>
      </c>
      <c r="C26" s="2">
        <v>417.29</v>
      </c>
      <c r="D26" s="11">
        <f t="shared" si="20"/>
        <v>3.7923982913223924</v>
      </c>
      <c r="E26" s="11">
        <f t="shared" si="21"/>
        <v>10.864420816269897</v>
      </c>
      <c r="F26" s="11">
        <f t="shared" si="22"/>
        <v>1.8345607658221736</v>
      </c>
      <c r="G26" s="16">
        <v>27</v>
      </c>
      <c r="H26" s="11">
        <f t="shared" si="8"/>
        <v>0.73267322834645676</v>
      </c>
      <c r="I26" s="18">
        <v>1.32</v>
      </c>
      <c r="J26" s="17">
        <v>3.2949999999999999</v>
      </c>
      <c r="K26">
        <v>-3.25</v>
      </c>
      <c r="L26" s="3">
        <f t="shared" si="23"/>
        <v>1.2991666666666668</v>
      </c>
      <c r="M26" s="12">
        <f t="shared" si="24"/>
        <v>4441.4298934436683</v>
      </c>
      <c r="N26" s="3">
        <f t="shared" si="25"/>
        <v>1.9749999999999999</v>
      </c>
      <c r="O26">
        <f t="shared" si="26"/>
        <v>1.0765519664402543</v>
      </c>
      <c r="P26" s="3">
        <f t="shared" si="27"/>
        <v>1.9754333333333332</v>
      </c>
      <c r="Q26">
        <f t="shared" si="28"/>
        <v>1.0767881719350005</v>
      </c>
      <c r="R26">
        <f t="shared" si="15"/>
        <v>1.0766700691876274</v>
      </c>
      <c r="S26">
        <f t="shared" si="16"/>
        <v>1.0376271339877476</v>
      </c>
      <c r="T26">
        <f t="shared" si="17"/>
        <v>0.24422440944881893</v>
      </c>
      <c r="U26">
        <f t="shared" si="4"/>
        <v>11.27321783402296</v>
      </c>
      <c r="V26">
        <f t="shared" si="18"/>
        <v>0.73267322834645687</v>
      </c>
      <c r="W26">
        <f t="shared" si="19"/>
        <v>1.0376271339877476</v>
      </c>
    </row>
    <row r="27" spans="1:23" x14ac:dyDescent="0.25">
      <c r="A27" t="s">
        <v>4</v>
      </c>
      <c r="B27">
        <v>0.18565000000000001</v>
      </c>
      <c r="C27" s="2">
        <v>417.29</v>
      </c>
      <c r="D27" s="11">
        <f t="shared" si="20"/>
        <v>3.7923982913223924</v>
      </c>
      <c r="E27" s="11">
        <f t="shared" si="21"/>
        <v>10.864420816269897</v>
      </c>
      <c r="F27" s="11">
        <f t="shared" si="22"/>
        <v>1.8345607658221736</v>
      </c>
      <c r="G27" s="16">
        <v>28</v>
      </c>
      <c r="H27" s="11">
        <f t="shared" si="8"/>
        <v>0.63424803149606301</v>
      </c>
      <c r="I27" s="18">
        <v>1.32</v>
      </c>
      <c r="J27" s="17">
        <v>3.282</v>
      </c>
      <c r="K27">
        <v>-3.25</v>
      </c>
      <c r="L27" s="3">
        <f t="shared" si="23"/>
        <v>1.2991666666666668</v>
      </c>
      <c r="M27" s="12">
        <f t="shared" si="24"/>
        <v>4441.4298934436683</v>
      </c>
      <c r="N27" s="3">
        <f t="shared" si="25"/>
        <v>1.962</v>
      </c>
      <c r="O27">
        <f t="shared" si="26"/>
        <v>1.0694658015978629</v>
      </c>
      <c r="P27" s="3">
        <f t="shared" si="27"/>
        <v>1.9624333333333333</v>
      </c>
      <c r="Q27">
        <f t="shared" si="28"/>
        <v>1.0697020070926091</v>
      </c>
      <c r="R27">
        <f t="shared" si="15"/>
        <v>1.069583904345236</v>
      </c>
      <c r="S27">
        <f t="shared" si="16"/>
        <v>1.0342068962955313</v>
      </c>
      <c r="T27">
        <f t="shared" si="17"/>
        <v>0.21141601049868766</v>
      </c>
      <c r="U27">
        <f t="shared" si="4"/>
        <v>11.236058932443052</v>
      </c>
      <c r="V27">
        <f t="shared" si="18"/>
        <v>0.63424803149606301</v>
      </c>
      <c r="W27">
        <f t="shared" si="19"/>
        <v>1.0342068962955313</v>
      </c>
    </row>
    <row r="28" spans="1:23" x14ac:dyDescent="0.25">
      <c r="A28" t="s">
        <v>4</v>
      </c>
      <c r="B28">
        <v>0.18565000000000001</v>
      </c>
      <c r="C28" s="2">
        <v>417.29</v>
      </c>
      <c r="D28" s="11">
        <f t="shared" si="20"/>
        <v>3.7923982913223924</v>
      </c>
      <c r="E28" s="11">
        <f t="shared" si="21"/>
        <v>10.864420816269897</v>
      </c>
      <c r="F28" s="11">
        <f t="shared" si="22"/>
        <v>1.8345607658221736</v>
      </c>
      <c r="G28" s="16">
        <v>29</v>
      </c>
      <c r="H28" s="11">
        <f t="shared" si="8"/>
        <v>0.53582283464566927</v>
      </c>
      <c r="I28" s="18">
        <v>1.3160000000000001</v>
      </c>
      <c r="J28" s="17">
        <v>3.2519999999999998</v>
      </c>
      <c r="K28">
        <v>-3.25</v>
      </c>
      <c r="L28" s="3">
        <f t="shared" si="23"/>
        <v>1.2991666666666668</v>
      </c>
      <c r="M28" s="12">
        <f t="shared" si="24"/>
        <v>4441.4298934436683</v>
      </c>
      <c r="N28" s="3">
        <f t="shared" si="25"/>
        <v>1.9359999999999997</v>
      </c>
      <c r="O28">
        <f t="shared" si="26"/>
        <v>1.0552934719130795</v>
      </c>
      <c r="P28" s="3">
        <f t="shared" si="27"/>
        <v>1.932433333333333</v>
      </c>
      <c r="Q28">
        <f t="shared" si="28"/>
        <v>1.0533493189947825</v>
      </c>
      <c r="R28">
        <f t="shared" si="15"/>
        <v>1.054321395453931</v>
      </c>
      <c r="S28">
        <f t="shared" si="16"/>
        <v>1.026801536546343</v>
      </c>
      <c r="T28">
        <f t="shared" si="17"/>
        <v>0.17860761154855642</v>
      </c>
      <c r="U28">
        <f t="shared" si="4"/>
        <v>11.155603987832004</v>
      </c>
      <c r="V28">
        <f t="shared" si="18"/>
        <v>0.53582283464566927</v>
      </c>
      <c r="W28">
        <f t="shared" si="19"/>
        <v>1.026801536546343</v>
      </c>
    </row>
    <row r="29" spans="1:23" x14ac:dyDescent="0.25">
      <c r="A29" t="s">
        <v>4</v>
      </c>
      <c r="B29">
        <v>0.18565000000000001</v>
      </c>
      <c r="C29" s="2">
        <v>417.29</v>
      </c>
      <c r="D29" s="11">
        <f t="shared" si="20"/>
        <v>3.7923982913223924</v>
      </c>
      <c r="E29" s="11">
        <f t="shared" si="21"/>
        <v>10.864420816269897</v>
      </c>
      <c r="F29" s="11">
        <f t="shared" si="22"/>
        <v>1.8345607658221736</v>
      </c>
      <c r="G29" s="16">
        <v>30</v>
      </c>
      <c r="H29" s="11">
        <f t="shared" si="8"/>
        <v>0.43739763779527563</v>
      </c>
      <c r="I29" s="18">
        <v>1.3149999999999999</v>
      </c>
      <c r="J29" s="17">
        <v>3.2250000000000001</v>
      </c>
      <c r="K29">
        <v>-3.25</v>
      </c>
      <c r="L29" s="3">
        <f t="shared" si="23"/>
        <v>1.2991666666666668</v>
      </c>
      <c r="M29" s="12">
        <f t="shared" si="24"/>
        <v>4441.4298934436683</v>
      </c>
      <c r="N29" s="3">
        <f t="shared" si="25"/>
        <v>1.9100000000000001</v>
      </c>
      <c r="O29">
        <f t="shared" si="26"/>
        <v>1.0411211422282967</v>
      </c>
      <c r="P29" s="3">
        <f t="shared" si="27"/>
        <v>1.9054333333333333</v>
      </c>
      <c r="Q29">
        <f t="shared" si="28"/>
        <v>1.0386318997067385</v>
      </c>
      <c r="R29">
        <f t="shared" si="15"/>
        <v>1.0398765209675176</v>
      </c>
      <c r="S29">
        <f t="shared" si="16"/>
        <v>1.0197433603449044</v>
      </c>
      <c r="T29">
        <f t="shared" si="17"/>
        <v>0.14579921259842521</v>
      </c>
      <c r="U29">
        <f t="shared" si="4"/>
        <v>11.078920991384194</v>
      </c>
      <c r="V29">
        <f t="shared" si="18"/>
        <v>0.43739763779527563</v>
      </c>
      <c r="W29">
        <f t="shared" si="19"/>
        <v>1.0197433603449044</v>
      </c>
    </row>
    <row r="30" spans="1:23" x14ac:dyDescent="0.25">
      <c r="A30" t="s">
        <v>4</v>
      </c>
      <c r="B30">
        <v>0.18565000000000001</v>
      </c>
      <c r="C30" s="2">
        <v>417.29</v>
      </c>
      <c r="D30" s="11">
        <f t="shared" si="20"/>
        <v>3.7923982913223924</v>
      </c>
      <c r="E30" s="11">
        <f t="shared" si="21"/>
        <v>10.864420816269897</v>
      </c>
      <c r="F30" s="11">
        <f t="shared" si="22"/>
        <v>1.8345607658221736</v>
      </c>
      <c r="G30" s="16">
        <v>31</v>
      </c>
      <c r="H30" s="11">
        <f t="shared" si="8"/>
        <v>0.33897244094488199</v>
      </c>
      <c r="I30" s="18">
        <v>1.3049999999999999</v>
      </c>
      <c r="J30" s="17">
        <v>3.1779999999999999</v>
      </c>
      <c r="K30">
        <v>-3.25</v>
      </c>
      <c r="L30" s="3">
        <f t="shared" si="23"/>
        <v>1.2991666666666668</v>
      </c>
      <c r="M30" s="12">
        <f t="shared" si="24"/>
        <v>4441.4298934436683</v>
      </c>
      <c r="N30" s="3">
        <f t="shared" si="25"/>
        <v>1.873</v>
      </c>
      <c r="O30">
        <f t="shared" si="26"/>
        <v>1.0209528269076438</v>
      </c>
      <c r="P30" s="3">
        <f t="shared" si="27"/>
        <v>1.8584333333333332</v>
      </c>
      <c r="Q30">
        <f t="shared" si="28"/>
        <v>1.0130126883534767</v>
      </c>
      <c r="R30">
        <f t="shared" si="15"/>
        <v>1.0169827576305601</v>
      </c>
      <c r="S30">
        <f t="shared" si="16"/>
        <v>1.0084556299761334</v>
      </c>
      <c r="T30">
        <f t="shared" si="17"/>
        <v>0.112990813648294</v>
      </c>
      <c r="U30">
        <f t="shared" si="4"/>
        <v>10.956286338597277</v>
      </c>
      <c r="V30">
        <f t="shared" si="18"/>
        <v>0.33897244094488199</v>
      </c>
      <c r="W30">
        <f t="shared" si="19"/>
        <v>1.0084556299761334</v>
      </c>
    </row>
    <row r="31" spans="1:23" x14ac:dyDescent="0.25">
      <c r="A31" t="s">
        <v>4</v>
      </c>
      <c r="B31">
        <v>0.18565000000000001</v>
      </c>
      <c r="C31" s="2">
        <v>417.29</v>
      </c>
      <c r="D31" s="11">
        <f t="shared" si="20"/>
        <v>3.7923982913223924</v>
      </c>
      <c r="E31" s="11">
        <f t="shared" si="21"/>
        <v>10.864420816269897</v>
      </c>
      <c r="F31" s="11">
        <f t="shared" si="22"/>
        <v>1.8345607658221736</v>
      </c>
      <c r="G31" s="16">
        <v>32</v>
      </c>
      <c r="H31" s="11">
        <f t="shared" si="8"/>
        <v>0.24054724409448824</v>
      </c>
      <c r="I31" s="18">
        <v>1.3</v>
      </c>
      <c r="J31" s="17">
        <v>3.1349999999999998</v>
      </c>
      <c r="K31">
        <v>-3.25</v>
      </c>
      <c r="L31" s="3">
        <f t="shared" si="23"/>
        <v>1.2991666666666668</v>
      </c>
      <c r="M31" s="12">
        <f t="shared" si="24"/>
        <v>4441.4298934436683</v>
      </c>
      <c r="N31" s="3">
        <f t="shared" si="25"/>
        <v>1.8349999999999997</v>
      </c>
      <c r="O31">
        <f t="shared" si="26"/>
        <v>1.0002394219837298</v>
      </c>
      <c r="P31" s="3">
        <f t="shared" si="27"/>
        <v>1.815433333333333</v>
      </c>
      <c r="Q31">
        <f t="shared" si="28"/>
        <v>0.98957383541325838</v>
      </c>
      <c r="R31">
        <f t="shared" si="15"/>
        <v>0.99490662869849411</v>
      </c>
      <c r="S31">
        <f t="shared" si="16"/>
        <v>0.99745006326055952</v>
      </c>
      <c r="T31">
        <f t="shared" si="17"/>
        <v>8.0182414698162743E-2</v>
      </c>
      <c r="U31">
        <f t="shared" si="4"/>
        <v>10.836717230477749</v>
      </c>
      <c r="V31">
        <f t="shared" si="18"/>
        <v>0.24054724409448824</v>
      </c>
      <c r="W31">
        <f t="shared" si="19"/>
        <v>0.99745006326055963</v>
      </c>
    </row>
    <row r="32" spans="1:23" x14ac:dyDescent="0.25">
      <c r="A32" t="s">
        <v>4</v>
      </c>
      <c r="B32">
        <v>0.18565000000000001</v>
      </c>
      <c r="C32" s="2">
        <v>417.29</v>
      </c>
      <c r="D32" s="11">
        <f t="shared" si="20"/>
        <v>3.7923982913223924</v>
      </c>
      <c r="E32" s="11">
        <f t="shared" si="21"/>
        <v>10.864420816269897</v>
      </c>
      <c r="F32" s="11">
        <f t="shared" si="22"/>
        <v>1.8345607658221736</v>
      </c>
      <c r="G32" s="16">
        <v>33.29</v>
      </c>
      <c r="H32" s="11">
        <f t="shared" si="8"/>
        <v>0.11357874015748048</v>
      </c>
      <c r="I32" s="18">
        <v>1.2749999999999999</v>
      </c>
      <c r="J32" s="17">
        <v>2.99</v>
      </c>
      <c r="K32">
        <v>-3.25</v>
      </c>
      <c r="L32" s="3">
        <f t="shared" si="23"/>
        <v>1.2991666666666668</v>
      </c>
      <c r="M32" s="12">
        <f t="shared" si="24"/>
        <v>4441.4298934436683</v>
      </c>
      <c r="N32" s="3">
        <f t="shared" si="25"/>
        <v>1.7150000000000003</v>
      </c>
      <c r="O32">
        <f t="shared" si="26"/>
        <v>0.93482866959242361</v>
      </c>
      <c r="P32" s="3">
        <f t="shared" si="27"/>
        <v>1.6704333333333334</v>
      </c>
      <c r="Q32">
        <f t="shared" si="28"/>
        <v>0.91053584294042988</v>
      </c>
      <c r="R32">
        <f t="shared" si="15"/>
        <v>0.92268225626642675</v>
      </c>
      <c r="S32">
        <f t="shared" si="16"/>
        <v>0.96056350975165961</v>
      </c>
      <c r="T32">
        <f t="shared" si="17"/>
        <v>3.7859580052493493E-2</v>
      </c>
      <c r="U32">
        <f t="shared" si="4"/>
        <v>10.435966190695202</v>
      </c>
      <c r="V32">
        <f t="shared" si="18"/>
        <v>0.11357874015748048</v>
      </c>
      <c r="W32">
        <f t="shared" si="19"/>
        <v>0.96056350975165961</v>
      </c>
    </row>
    <row r="33" spans="1:25" x14ac:dyDescent="0.25">
      <c r="A33" s="1"/>
      <c r="D33" s="11"/>
      <c r="E33" s="11"/>
      <c r="F33" s="11"/>
      <c r="G33" s="11"/>
      <c r="H33" s="11"/>
      <c r="J33" s="11"/>
      <c r="L33" s="3"/>
      <c r="M33" s="3"/>
      <c r="N33" s="3"/>
    </row>
    <row r="34" spans="1:25" x14ac:dyDescent="0.25">
      <c r="A34" s="1"/>
      <c r="D34" s="11"/>
      <c r="E34" s="11"/>
      <c r="F34" s="11"/>
      <c r="G34" s="11"/>
      <c r="H34" s="11"/>
      <c r="L34" s="1" t="s">
        <v>47</v>
      </c>
      <c r="M34" s="3"/>
      <c r="N34" s="3"/>
      <c r="V34" t="s">
        <v>51</v>
      </c>
    </row>
    <row r="35" spans="1:25" x14ac:dyDescent="0.25">
      <c r="L35" s="3"/>
      <c r="M35" s="3"/>
      <c r="V35" t="s">
        <v>49</v>
      </c>
      <c r="W35" t="s">
        <v>50</v>
      </c>
      <c r="X35" t="s">
        <v>61</v>
      </c>
      <c r="Y35" t="s">
        <v>62</v>
      </c>
    </row>
    <row r="36" spans="1:25" x14ac:dyDescent="0.25">
      <c r="A36" s="1" t="s">
        <v>54</v>
      </c>
      <c r="L36" s="3"/>
      <c r="M36" s="3"/>
      <c r="V36">
        <v>0</v>
      </c>
      <c r="W36">
        <f t="shared" ref="W36:W53" si="29">$C$37*V36^$C$38</f>
        <v>0</v>
      </c>
      <c r="X36">
        <f>V36/(1/3)</f>
        <v>0</v>
      </c>
      <c r="Y36">
        <f>W36/$E$32</f>
        <v>0</v>
      </c>
    </row>
    <row r="37" spans="1:25" x14ac:dyDescent="0.25">
      <c r="B37" t="s">
        <v>40</v>
      </c>
      <c r="C37" cm="1">
        <f t="array" ref="C37">10^INTERCEPT(LOG(U19:U32),LOG(T19:T32))</f>
        <v>11.921529961582184</v>
      </c>
      <c r="L37" s="3"/>
      <c r="M37" s="3"/>
      <c r="V37">
        <v>1.0000000000000001E-18</v>
      </c>
      <c r="W37">
        <f t="shared" si="29"/>
        <v>2.2193554234764492</v>
      </c>
      <c r="X37">
        <f t="shared" ref="X37:X50" si="30">V37/(1/3)</f>
        <v>3.0000000000000002E-18</v>
      </c>
      <c r="Y37">
        <f t="shared" ref="Y37:Y50" si="31">W37/$E$32</f>
        <v>0.20427738036001672</v>
      </c>
    </row>
    <row r="38" spans="1:25" x14ac:dyDescent="0.25">
      <c r="B38" t="s">
        <v>41</v>
      </c>
      <c r="C38" cm="1">
        <f t="array" ref="C38">SLOPE(LOG(U19:U32),LOG(T19:T32))</f>
        <v>4.056139643168874E-2</v>
      </c>
      <c r="V38">
        <f>V37*1000</f>
        <v>1.0000000000000001E-15</v>
      </c>
      <c r="W38">
        <f t="shared" si="29"/>
        <v>2.9370480263533723</v>
      </c>
      <c r="X38">
        <f t="shared" si="30"/>
        <v>3.0000000000000002E-15</v>
      </c>
      <c r="Y38">
        <f t="shared" si="31"/>
        <v>0.27033636454462695</v>
      </c>
    </row>
    <row r="39" spans="1:25" x14ac:dyDescent="0.25">
      <c r="V39">
        <f t="shared" ref="V39:V41" si="32">V38*1000</f>
        <v>9.9999999999999998E-13</v>
      </c>
      <c r="W39">
        <f t="shared" si="29"/>
        <v>3.8868272372497605</v>
      </c>
      <c r="X39">
        <f t="shared" si="30"/>
        <v>3.0000000000000001E-12</v>
      </c>
      <c r="Y39">
        <f t="shared" si="31"/>
        <v>0.35775742701618146</v>
      </c>
    </row>
    <row r="40" spans="1:25" x14ac:dyDescent="0.25">
      <c r="A40" t="s">
        <v>42</v>
      </c>
      <c r="V40">
        <f t="shared" si="32"/>
        <v>1.0000000000000001E-9</v>
      </c>
      <c r="W40">
        <f t="shared" si="29"/>
        <v>5.143744956388721</v>
      </c>
      <c r="X40">
        <f t="shared" si="30"/>
        <v>3.0000000000000004E-9</v>
      </c>
      <c r="Y40">
        <f t="shared" si="31"/>
        <v>0.47344861206828082</v>
      </c>
    </row>
    <row r="41" spans="1:25" x14ac:dyDescent="0.25">
      <c r="B41" t="s">
        <v>43</v>
      </c>
      <c r="C41">
        <f>4/12</f>
        <v>0.33333333333333331</v>
      </c>
      <c r="D41" t="s">
        <v>1</v>
      </c>
      <c r="V41">
        <f t="shared" si="32"/>
        <v>1.0000000000000002E-6</v>
      </c>
      <c r="W41">
        <f t="shared" si="29"/>
        <v>6.8071232811200595</v>
      </c>
      <c r="X41">
        <f t="shared" si="30"/>
        <v>3.0000000000000005E-6</v>
      </c>
      <c r="Y41">
        <f t="shared" si="31"/>
        <v>0.626551879408622</v>
      </c>
    </row>
    <row r="42" spans="1:25" ht="17.25" x14ac:dyDescent="0.25">
      <c r="B42" t="s">
        <v>11</v>
      </c>
      <c r="C42">
        <f>2*PI()*($C$37*C41^($C$38+2)/($C$38+1)-$C$37*C41^($C$38+2)/($C$38+2))</f>
        <v>3.7488604368406486</v>
      </c>
      <c r="D42" s="1" t="s">
        <v>44</v>
      </c>
      <c r="V42">
        <f>V41*5</f>
        <v>5.0000000000000013E-6</v>
      </c>
      <c r="W42">
        <f t="shared" si="29"/>
        <v>7.2663249473932732</v>
      </c>
      <c r="X42">
        <f t="shared" si="30"/>
        <v>1.5000000000000004E-5</v>
      </c>
      <c r="Y42">
        <f t="shared" si="31"/>
        <v>0.66881843682929387</v>
      </c>
    </row>
    <row r="43" spans="1:25" x14ac:dyDescent="0.25">
      <c r="V43">
        <f t="shared" ref="V43:V46" si="33">V42*5</f>
        <v>2.5000000000000005E-5</v>
      </c>
      <c r="W43">
        <f t="shared" si="29"/>
        <v>7.756503894611722</v>
      </c>
      <c r="X43">
        <f t="shared" si="30"/>
        <v>7.5000000000000021E-5</v>
      </c>
      <c r="Y43">
        <f t="shared" si="31"/>
        <v>0.7139362535549113</v>
      </c>
    </row>
    <row r="44" spans="1:25" ht="18.75" x14ac:dyDescent="0.3">
      <c r="C44" s="21"/>
      <c r="D44" s="23" t="s">
        <v>53</v>
      </c>
      <c r="E44" s="24">
        <f>C42/$D$19-1</f>
        <v>-1.1480295880674007E-2</v>
      </c>
      <c r="V44">
        <f t="shared" si="33"/>
        <v>1.2500000000000003E-4</v>
      </c>
      <c r="W44">
        <f t="shared" si="29"/>
        <v>8.279749818883321</v>
      </c>
      <c r="X44">
        <f t="shared" si="30"/>
        <v>3.7500000000000012E-4</v>
      </c>
      <c r="Y44">
        <f t="shared" si="31"/>
        <v>0.76209767266047634</v>
      </c>
    </row>
    <row r="45" spans="1:25" x14ac:dyDescent="0.25">
      <c r="V45">
        <f t="shared" si="33"/>
        <v>6.2500000000000012E-4</v>
      </c>
      <c r="W45">
        <f t="shared" si="29"/>
        <v>8.8382933851063452</v>
      </c>
      <c r="X45">
        <f t="shared" si="30"/>
        <v>1.8750000000000004E-3</v>
      </c>
      <c r="Y45">
        <f t="shared" si="31"/>
        <v>0.81350801249070304</v>
      </c>
    </row>
    <row r="46" spans="1:25" x14ac:dyDescent="0.25">
      <c r="V46">
        <f t="shared" si="33"/>
        <v>3.1250000000000006E-3</v>
      </c>
      <c r="W46">
        <f t="shared" si="29"/>
        <v>9.4345157365817478</v>
      </c>
      <c r="X46">
        <f t="shared" si="30"/>
        <v>9.3750000000000031E-3</v>
      </c>
      <c r="Y46">
        <f t="shared" si="31"/>
        <v>0.86838644195861692</v>
      </c>
    </row>
    <row r="47" spans="1:25" x14ac:dyDescent="0.25">
      <c r="V47">
        <f>V46*2</f>
        <v>6.2500000000000012E-3</v>
      </c>
      <c r="W47">
        <f t="shared" si="29"/>
        <v>9.7035312805734026</v>
      </c>
      <c r="X47">
        <f t="shared" si="30"/>
        <v>1.8750000000000006E-2</v>
      </c>
      <c r="Y47">
        <f t="shared" si="31"/>
        <v>0.89314759108391528</v>
      </c>
    </row>
    <row r="48" spans="1:25" x14ac:dyDescent="0.25">
      <c r="V48">
        <f t="shared" ref="V48:V50" si="34">V47*2</f>
        <v>1.2500000000000002E-2</v>
      </c>
      <c r="W48">
        <f t="shared" si="29"/>
        <v>9.9802175270080564</v>
      </c>
      <c r="X48">
        <f t="shared" si="30"/>
        <v>3.7500000000000012E-2</v>
      </c>
      <c r="Y48">
        <f t="shared" si="31"/>
        <v>0.91861477899146626</v>
      </c>
    </row>
    <row r="49" spans="1:36" x14ac:dyDescent="0.25">
      <c r="V49">
        <f t="shared" si="34"/>
        <v>2.5000000000000005E-2</v>
      </c>
      <c r="W49">
        <f t="shared" si="29"/>
        <v>10.264793198101893</v>
      </c>
      <c r="X49">
        <f t="shared" si="30"/>
        <v>7.5000000000000025E-2</v>
      </c>
      <c r="Y49">
        <f t="shared" si="31"/>
        <v>0.94480813765331717</v>
      </c>
    </row>
    <row r="50" spans="1:36" x14ac:dyDescent="0.25">
      <c r="V50">
        <f t="shared" si="34"/>
        <v>5.000000000000001E-2</v>
      </c>
      <c r="W50">
        <f t="shared" si="29"/>
        <v>10.557483252710856</v>
      </c>
      <c r="X50">
        <f t="shared" si="30"/>
        <v>0.15000000000000005</v>
      </c>
      <c r="Y50">
        <f t="shared" si="31"/>
        <v>0.97174837308405893</v>
      </c>
    </row>
    <row r="51" spans="1:36" x14ac:dyDescent="0.25">
      <c r="V51">
        <f t="shared" ref="V51:V52" si="35">V50*2</f>
        <v>0.10000000000000002</v>
      </c>
      <c r="W51">
        <f t="shared" si="29"/>
        <v>10.858519064162033</v>
      </c>
      <c r="X51">
        <f t="shared" ref="X51:X53" si="36">V51/(1/3)</f>
        <v>0.3000000000000001</v>
      </c>
      <c r="Y51">
        <f t="shared" ref="Y51:Y53" si="37">W51/$E$32</f>
        <v>0.99945678170906027</v>
      </c>
    </row>
    <row r="52" spans="1:36" x14ac:dyDescent="0.25">
      <c r="A52" s="1" t="s">
        <v>56</v>
      </c>
      <c r="K52" t="s">
        <v>51</v>
      </c>
      <c r="V52">
        <f t="shared" si="35"/>
        <v>0.20000000000000004</v>
      </c>
      <c r="W52">
        <f t="shared" si="29"/>
        <v>11.168138603155738</v>
      </c>
      <c r="X52">
        <f t="shared" si="36"/>
        <v>0.6000000000000002</v>
      </c>
      <c r="Y52">
        <f t="shared" si="37"/>
        <v>1.027955267199427</v>
      </c>
    </row>
    <row r="53" spans="1:36" x14ac:dyDescent="0.25">
      <c r="B53" t="s">
        <v>40</v>
      </c>
      <c r="C53" cm="1">
        <f t="array" ref="C53">10^INTERCEPT(LOG(R19:R32),LOG(H19:H32))</f>
        <v>1.1014008886069377</v>
      </c>
      <c r="K53" t="s">
        <v>49</v>
      </c>
      <c r="L53" t="s">
        <v>50</v>
      </c>
      <c r="V53">
        <f>1/3</f>
        <v>0.33333333333333331</v>
      </c>
      <c r="W53">
        <f t="shared" si="29"/>
        <v>11.401954149317081</v>
      </c>
      <c r="X53">
        <f t="shared" si="36"/>
        <v>1</v>
      </c>
      <c r="Y53">
        <f t="shared" si="37"/>
        <v>1.0494764831128602</v>
      </c>
    </row>
    <row r="54" spans="1:36" x14ac:dyDescent="0.25">
      <c r="B54" t="s">
        <v>41</v>
      </c>
      <c r="C54" cm="1">
        <f t="array" ref="C54">SLOPE(LOG(R19:R32),LOG(H19:H32))</f>
        <v>8.1122792863377507E-2</v>
      </c>
      <c r="K54">
        <v>0</v>
      </c>
      <c r="L54">
        <f t="shared" ref="L54" si="38">$C$37*K54^$C$38</f>
        <v>0</v>
      </c>
      <c r="X54" s="25">
        <f>W53/E32</f>
        <v>1.0494764831128602</v>
      </c>
    </row>
    <row r="55" spans="1:36" x14ac:dyDescent="0.25">
      <c r="K55">
        <v>1.0000000000000001E-18</v>
      </c>
      <c r="L55">
        <f>$C$53*K55^$C$54</f>
        <v>3.8171141795598211E-2</v>
      </c>
      <c r="X55" t="s">
        <v>57</v>
      </c>
    </row>
    <row r="56" spans="1:36" x14ac:dyDescent="0.25">
      <c r="K56">
        <f>K55*1000</f>
        <v>1.0000000000000001E-15</v>
      </c>
      <c r="L56">
        <f t="shared" ref="L56:L69" si="39">$C$53*K56^$C$54</f>
        <v>6.6850326017475911E-2</v>
      </c>
    </row>
    <row r="57" spans="1:36" x14ac:dyDescent="0.25">
      <c r="K57">
        <f t="shared" ref="K57:K59" si="40">K56*1000</f>
        <v>9.9999999999999998E-13</v>
      </c>
      <c r="L57">
        <f t="shared" si="39"/>
        <v>0.11707708699345648</v>
      </c>
    </row>
    <row r="58" spans="1:36" x14ac:dyDescent="0.25">
      <c r="K58">
        <f t="shared" si="40"/>
        <v>1.0000000000000001E-9</v>
      </c>
      <c r="L58">
        <f t="shared" si="39"/>
        <v>0.20504079958099383</v>
      </c>
    </row>
    <row r="59" spans="1:36" ht="15.75" thickBot="1" x14ac:dyDescent="0.3">
      <c r="K59">
        <f t="shared" si="40"/>
        <v>1.0000000000000002E-6</v>
      </c>
      <c r="L59">
        <f t="shared" si="39"/>
        <v>0.3590944272055816</v>
      </c>
      <c r="Y59" s="1" t="s">
        <v>70</v>
      </c>
    </row>
    <row r="60" spans="1:36" ht="15.75" thickBot="1" x14ac:dyDescent="0.3">
      <c r="K60">
        <f>K59*100</f>
        <v>1.0000000000000002E-4</v>
      </c>
      <c r="L60">
        <f t="shared" si="39"/>
        <v>0.52174014082934173</v>
      </c>
      <c r="Y60" s="29" t="s">
        <v>63</v>
      </c>
      <c r="Z60" s="30">
        <v>4.1891871899987138E-2</v>
      </c>
      <c r="AA60" s="30"/>
      <c r="AB60" s="30"/>
      <c r="AC60" s="30"/>
      <c r="AD60" s="30"/>
      <c r="AE60" s="30"/>
      <c r="AF60" s="30"/>
      <c r="AG60" s="30"/>
      <c r="AH60" s="30"/>
      <c r="AI60" s="30"/>
      <c r="AJ60" s="31"/>
    </row>
    <row r="61" spans="1:36" ht="18" thickBot="1" x14ac:dyDescent="0.3">
      <c r="K61">
        <f>K60*10</f>
        <v>1.0000000000000002E-3</v>
      </c>
      <c r="L61">
        <f t="shared" si="39"/>
        <v>0.6288934100608996</v>
      </c>
      <c r="Y61" s="32" t="s">
        <v>64</v>
      </c>
      <c r="Z61" s="33">
        <v>1.0412360414681985</v>
      </c>
      <c r="AA61" s="33"/>
      <c r="AB61" s="36" t="s">
        <v>66</v>
      </c>
      <c r="AC61" s="41" cm="1">
        <f t="array" ref="AC61">SUM((AC66:AC79-AD66:AD79)^2)</f>
        <v>2.2022301841293842E-5</v>
      </c>
      <c r="AD61" s="33"/>
      <c r="AE61" s="33"/>
      <c r="AF61" s="33"/>
      <c r="AG61" s="33"/>
      <c r="AH61" s="33"/>
      <c r="AI61" s="33"/>
      <c r="AJ61" s="34"/>
    </row>
    <row r="62" spans="1:36" x14ac:dyDescent="0.25">
      <c r="K62">
        <f t="shared" ref="K62:K64" si="41">K61*5</f>
        <v>5.000000000000001E-3</v>
      </c>
      <c r="L62">
        <f t="shared" si="39"/>
        <v>0.71660435443595727</v>
      </c>
      <c r="Y62" s="32" t="s">
        <v>65</v>
      </c>
      <c r="Z62" s="33">
        <v>-4.0301586919979461E-2</v>
      </c>
      <c r="AA62" s="33"/>
      <c r="AB62" s="33"/>
      <c r="AC62" s="33"/>
      <c r="AD62" s="33"/>
      <c r="AE62" s="33"/>
      <c r="AF62" s="33"/>
      <c r="AG62" s="33"/>
      <c r="AH62" s="33"/>
      <c r="AI62" s="33"/>
      <c r="AJ62" s="34"/>
    </row>
    <row r="63" spans="1:36" x14ac:dyDescent="0.25">
      <c r="K63">
        <f t="shared" si="41"/>
        <v>2.5000000000000005E-2</v>
      </c>
      <c r="L63">
        <f t="shared" si="39"/>
        <v>0.81654822992476184</v>
      </c>
      <c r="Y63" s="35"/>
      <c r="Z63" s="36" t="s">
        <v>71</v>
      </c>
      <c r="AA63" s="33"/>
      <c r="AB63" s="33"/>
      <c r="AC63" s="33"/>
      <c r="AD63" s="33"/>
      <c r="AE63" s="33"/>
      <c r="AF63" s="33"/>
      <c r="AG63" s="33"/>
      <c r="AH63" s="33"/>
      <c r="AI63" s="33"/>
      <c r="AJ63" s="34"/>
    </row>
    <row r="64" spans="1:36" x14ac:dyDescent="0.25">
      <c r="K64">
        <f t="shared" si="41"/>
        <v>0.12500000000000003</v>
      </c>
      <c r="L64">
        <f t="shared" si="39"/>
        <v>0.93043114748872091</v>
      </c>
      <c r="Y64" s="35"/>
      <c r="Z64" s="36" t="s">
        <v>67</v>
      </c>
      <c r="AA64" s="33"/>
      <c r="AB64" s="33" t="s">
        <v>68</v>
      </c>
      <c r="AC64" s="33"/>
      <c r="AD64" s="33"/>
      <c r="AE64" s="33"/>
      <c r="AF64" s="33"/>
      <c r="AG64" s="33"/>
      <c r="AH64" s="33"/>
      <c r="AI64" s="33"/>
      <c r="AJ64" s="34"/>
    </row>
    <row r="65" spans="1:36" ht="18" x14ac:dyDescent="0.35">
      <c r="K65">
        <f>K64*1.52</f>
        <v>0.19000000000000006</v>
      </c>
      <c r="L65">
        <f t="shared" si="39"/>
        <v>0.96257793078436094</v>
      </c>
      <c r="Y65" s="35"/>
      <c r="Z65" s="33" t="s">
        <v>59</v>
      </c>
      <c r="AA65" s="33" t="s">
        <v>60</v>
      </c>
      <c r="AB65" t="s">
        <v>59</v>
      </c>
      <c r="AC65" s="33" t="s">
        <v>60</v>
      </c>
      <c r="AD65" s="40" t="s">
        <v>69</v>
      </c>
      <c r="AE65" s="33"/>
      <c r="AF65" s="33"/>
      <c r="AG65" s="33"/>
      <c r="AH65" s="33"/>
      <c r="AI65" s="33"/>
      <c r="AJ65" s="34"/>
    </row>
    <row r="66" spans="1:36" x14ac:dyDescent="0.25">
      <c r="K66">
        <f t="shared" ref="K66:K68" si="42">K65*1.52</f>
        <v>0.28880000000000011</v>
      </c>
      <c r="L66">
        <f t="shared" si="39"/>
        <v>0.99583539881905569</v>
      </c>
      <c r="Y66" s="35"/>
      <c r="Z66" s="33">
        <v>0</v>
      </c>
      <c r="AA66" s="33">
        <f>($Z$61*Z66^($Z$60+$Z$62*Z66))</f>
        <v>0</v>
      </c>
      <c r="AB66" s="33">
        <f>V19</f>
        <v>0.99961023622047263</v>
      </c>
      <c r="AC66" s="33">
        <f>W19</f>
        <v>1.0418212432273599</v>
      </c>
      <c r="AD66" s="42">
        <f t="shared" ref="AD66:AD72" si="43">($Z$61*AB66^($Z$60+$Z$62*AB66))</f>
        <v>1.0412353895713917</v>
      </c>
      <c r="AE66" s="33"/>
      <c r="AF66" s="33"/>
      <c r="AG66" s="33"/>
      <c r="AH66" s="33"/>
      <c r="AI66" s="33"/>
      <c r="AJ66" s="34"/>
    </row>
    <row r="67" spans="1:36" x14ac:dyDescent="0.25">
      <c r="K67">
        <f t="shared" si="42"/>
        <v>0.4389760000000002</v>
      </c>
      <c r="L67">
        <f t="shared" si="39"/>
        <v>1.0302419262126923</v>
      </c>
      <c r="Y67" s="35"/>
      <c r="Z67" s="33">
        <v>1E-10</v>
      </c>
      <c r="AA67" s="33">
        <f>($Z$61*Z67^($Z$60+$Z$62*Z67))</f>
        <v>0.39685373630045151</v>
      </c>
      <c r="AB67" s="33">
        <f t="shared" ref="AB67:AC67" si="44">V20</f>
        <v>0.97205118110236233</v>
      </c>
      <c r="AC67" s="33">
        <f t="shared" si="44"/>
        <v>1.0418212432273599</v>
      </c>
      <c r="AD67" s="42">
        <f t="shared" si="43"/>
        <v>1.0411558601507167</v>
      </c>
      <c r="AE67" s="33"/>
      <c r="AF67" s="33"/>
      <c r="AG67" s="33"/>
      <c r="AH67" s="33"/>
      <c r="AI67" s="33"/>
      <c r="AJ67" s="34"/>
    </row>
    <row r="68" spans="1:36" x14ac:dyDescent="0.25">
      <c r="K68">
        <f t="shared" si="42"/>
        <v>0.66724352000000031</v>
      </c>
      <c r="L68">
        <f t="shared" si="39"/>
        <v>1.0658372134442429</v>
      </c>
      <c r="Y68" s="35"/>
      <c r="Z68" s="33">
        <f>Z67*10</f>
        <v>1.0000000000000001E-9</v>
      </c>
      <c r="AA68" s="33">
        <f t="shared" ref="AA68:AA72" si="45">($Z$61*Z68^($Z$60+$Z$62*Z68))</f>
        <v>0.43704116549782718</v>
      </c>
      <c r="AB68" s="33">
        <f t="shared" ref="AB68:AC68" si="46">V21</f>
        <v>0.72598818897637796</v>
      </c>
      <c r="AC68" s="33">
        <f t="shared" si="46"/>
        <v>1.0351288412350652</v>
      </c>
      <c r="AD68" s="42">
        <f t="shared" si="43"/>
        <v>1.0370322452283931</v>
      </c>
      <c r="AE68" s="33"/>
      <c r="AF68" s="33"/>
      <c r="AG68" s="33"/>
      <c r="AH68" s="33"/>
      <c r="AI68" s="33"/>
      <c r="AJ68" s="34"/>
    </row>
    <row r="69" spans="1:36" x14ac:dyDescent="0.25">
      <c r="K69">
        <v>1</v>
      </c>
      <c r="L69">
        <f t="shared" si="39"/>
        <v>1.1014008886069377</v>
      </c>
      <c r="M69" s="26">
        <f>L69/1</f>
        <v>1.1014008886069377</v>
      </c>
      <c r="Y69" s="35"/>
      <c r="Z69" s="33">
        <f t="shared" ref="Z69:Z72" si="47">Z68*10</f>
        <v>1E-8</v>
      </c>
      <c r="AA69" s="33">
        <f t="shared" si="45"/>
        <v>0.48129818113078771</v>
      </c>
      <c r="AB69" s="33">
        <f t="shared" ref="AB69:AC69" si="48">V22</f>
        <v>0.30275984251968491</v>
      </c>
      <c r="AC69" s="33">
        <f t="shared" si="48"/>
        <v>1.0060971092570883</v>
      </c>
      <c r="AD69" s="42">
        <f t="shared" si="43"/>
        <v>1.0049464305517577</v>
      </c>
      <c r="AE69" s="33"/>
      <c r="AF69" s="33"/>
      <c r="AG69" s="33"/>
      <c r="AH69" s="33"/>
      <c r="AI69" s="33"/>
      <c r="AJ69" s="34"/>
    </row>
    <row r="70" spans="1:36" ht="17.25" x14ac:dyDescent="0.25">
      <c r="M70" s="1" t="s">
        <v>58</v>
      </c>
      <c r="Y70" s="35"/>
      <c r="Z70" s="33">
        <f t="shared" si="47"/>
        <v>9.9999999999999995E-8</v>
      </c>
      <c r="AA70" s="33">
        <f t="shared" si="45"/>
        <v>0.53003691470911296</v>
      </c>
      <c r="AB70" s="33">
        <f t="shared" ref="AB70:AC70" si="49">V23</f>
        <v>3.7011811023622054E-2</v>
      </c>
      <c r="AC70" s="33">
        <f t="shared" si="49"/>
        <v>0.91030450932856721</v>
      </c>
      <c r="AD70" s="42">
        <f t="shared" si="43"/>
        <v>0.91140163308469713</v>
      </c>
      <c r="AE70" s="33"/>
      <c r="AF70" s="33"/>
      <c r="AG70" s="33"/>
      <c r="AH70" s="33"/>
      <c r="AI70" s="33"/>
      <c r="AJ70" s="34"/>
    </row>
    <row r="71" spans="1:36" x14ac:dyDescent="0.25">
      <c r="Y71" s="35"/>
      <c r="Z71" s="33">
        <f t="shared" si="47"/>
        <v>9.9999999999999995E-7</v>
      </c>
      <c r="AA71" s="33">
        <f t="shared" si="45"/>
        <v>0.58371143706478978</v>
      </c>
      <c r="AB71" s="33">
        <f t="shared" ref="AB71:AC71" si="50">V24</f>
        <v>0.92952362204724415</v>
      </c>
      <c r="AC71" s="33">
        <f t="shared" si="50"/>
        <v>1.0399884016742571</v>
      </c>
      <c r="AD71" s="42">
        <f t="shared" si="43"/>
        <v>1.040898942336413</v>
      </c>
      <c r="AE71" s="33"/>
      <c r="AF71" s="33"/>
      <c r="AG71" s="33"/>
      <c r="AH71" s="33"/>
      <c r="AI71" s="33"/>
      <c r="AJ71" s="34"/>
    </row>
    <row r="72" spans="1:36" x14ac:dyDescent="0.25">
      <c r="Y72" s="35"/>
      <c r="Z72" s="33">
        <f t="shared" si="47"/>
        <v>9.9999999999999991E-6</v>
      </c>
      <c r="AA72" s="33">
        <f t="shared" si="45"/>
        <v>0.64282365232164218</v>
      </c>
      <c r="AB72" s="33">
        <f t="shared" ref="AB72:AC72" si="51">V25</f>
        <v>0.8310984251968504</v>
      </c>
      <c r="AC72" s="33">
        <f t="shared" si="51"/>
        <v>1.0402504338957212</v>
      </c>
      <c r="AD72" s="42">
        <f t="shared" si="43"/>
        <v>1.0396196776081896</v>
      </c>
      <c r="AE72" s="33"/>
      <c r="AF72" s="33"/>
      <c r="AG72" s="33"/>
      <c r="AH72" s="33"/>
      <c r="AI72" s="33"/>
      <c r="AJ72" s="34"/>
    </row>
    <row r="73" spans="1:36" x14ac:dyDescent="0.25">
      <c r="Y73" s="35"/>
      <c r="Z73" s="33">
        <f t="shared" ref="Z73:Z74" si="52">3*V43</f>
        <v>7.5000000000000007E-5</v>
      </c>
      <c r="AA73" s="33">
        <f>($Z$61*Z73^($Z$60+$Z$62*Z73))</f>
        <v>0.69945576718075331</v>
      </c>
      <c r="AB73" s="33">
        <f t="shared" ref="AB73:AC73" si="53">V26</f>
        <v>0.73267322834645687</v>
      </c>
      <c r="AC73" s="33">
        <f t="shared" si="53"/>
        <v>1.0376271339877476</v>
      </c>
      <c r="AD73" s="42">
        <f>($Z$61*AB73^($Z$60+$Z$62*AB73))</f>
        <v>1.0372392598719931</v>
      </c>
      <c r="AE73" s="33"/>
      <c r="AF73" s="33"/>
      <c r="AG73" s="33"/>
      <c r="AH73" s="33"/>
      <c r="AI73" s="33"/>
      <c r="AJ73" s="34"/>
    </row>
    <row r="74" spans="1:36" x14ac:dyDescent="0.25">
      <c r="Y74" s="35"/>
      <c r="Z74" s="33">
        <f t="shared" si="52"/>
        <v>3.7500000000000012E-4</v>
      </c>
      <c r="AA74" s="33">
        <f t="shared" ref="AA74:AA92" si="54">($Z$61*Z74^($Z$60+$Z$62*Z74))</f>
        <v>0.74830858229729347</v>
      </c>
      <c r="AB74" s="33">
        <f t="shared" ref="AB74:AC74" si="55">V27</f>
        <v>0.63424803149606301</v>
      </c>
      <c r="AC74" s="33">
        <f t="shared" si="55"/>
        <v>1.0342068962955313</v>
      </c>
      <c r="AD74" s="42">
        <f t="shared" ref="AD74:AD79" si="56">($Z$61*AB74^($Z$60+$Z$62*AB74))</f>
        <v>1.0335225375950476</v>
      </c>
      <c r="AE74" s="33"/>
      <c r="AF74" s="33"/>
      <c r="AG74" s="33"/>
      <c r="AH74" s="33"/>
      <c r="AI74" s="33"/>
      <c r="AJ74" s="34"/>
    </row>
    <row r="75" spans="1:36" ht="26.25" x14ac:dyDescent="0.4">
      <c r="A75" s="22" t="s">
        <v>55</v>
      </c>
      <c r="Y75" s="35"/>
      <c r="Z75" s="33">
        <f>2*V45</f>
        <v>1.2500000000000002E-3</v>
      </c>
      <c r="AA75" s="33">
        <f t="shared" si="54"/>
        <v>0.78718999827779923</v>
      </c>
      <c r="AB75" s="33">
        <f t="shared" ref="AB75:AC75" si="57">V28</f>
        <v>0.53582283464566927</v>
      </c>
      <c r="AC75" s="33">
        <f t="shared" si="57"/>
        <v>1.026801536546343</v>
      </c>
      <c r="AD75" s="42">
        <f t="shared" si="56"/>
        <v>1.028132382643846</v>
      </c>
      <c r="AE75" s="33"/>
      <c r="AF75" s="33"/>
      <c r="AG75" s="33"/>
      <c r="AH75" s="33"/>
      <c r="AI75" s="33"/>
      <c r="AJ75" s="34"/>
    </row>
    <row r="76" spans="1:36" x14ac:dyDescent="0.25">
      <c r="A76" t="s">
        <v>4</v>
      </c>
      <c r="B76">
        <v>0.18565000000000001</v>
      </c>
      <c r="C76" s="2">
        <v>417.29</v>
      </c>
      <c r="D76" s="11">
        <f>B76*SQRT(C76)</f>
        <v>3.7923982913223924</v>
      </c>
      <c r="E76" s="11">
        <f>D76/$C$5</f>
        <v>10.864420816269897</v>
      </c>
      <c r="F76" s="11">
        <f>E76^2/32.17/2</f>
        <v>1.8345607658221736</v>
      </c>
      <c r="G76" s="16">
        <v>16</v>
      </c>
      <c r="H76" s="19">
        <f>ABS(G76-$I$11)/2.54</f>
        <v>3.2614015748031497</v>
      </c>
      <c r="I76" s="18">
        <v>1.3420000000000001</v>
      </c>
      <c r="J76" s="17">
        <v>3.2050000000000001</v>
      </c>
      <c r="K76">
        <v>-3.25</v>
      </c>
      <c r="L76" s="3">
        <f>$E$7+K76/12</f>
        <v>1.2991666666666668</v>
      </c>
      <c r="M76" s="12">
        <f>E76*0.052/12/0.0000106</f>
        <v>4441.4298934436683</v>
      </c>
      <c r="N76" s="3">
        <f>J76-I76</f>
        <v>1.863</v>
      </c>
      <c r="O76">
        <f>N76/F76</f>
        <v>1.0155019308750348</v>
      </c>
      <c r="P76" s="3">
        <f>J76-L76-0.0204</f>
        <v>1.8854333333333333</v>
      </c>
      <c r="Q76">
        <f>P76/F76</f>
        <v>1.0277301076415208</v>
      </c>
      <c r="Y76" s="35"/>
      <c r="Z76" s="33">
        <f t="shared" ref="Z76:Z80" si="58">2*V46</f>
        <v>6.2500000000000012E-3</v>
      </c>
      <c r="AA76" s="33">
        <f t="shared" si="54"/>
        <v>0.84288760039043675</v>
      </c>
      <c r="AB76" s="33">
        <f t="shared" ref="AB76:AC76" si="59">V29</f>
        <v>0.43739763779527563</v>
      </c>
      <c r="AC76" s="33">
        <f t="shared" si="59"/>
        <v>1.0197433603449044</v>
      </c>
      <c r="AD76" s="42">
        <f t="shared" si="56"/>
        <v>1.0205526133836342</v>
      </c>
      <c r="AE76" s="33"/>
      <c r="AF76" s="33"/>
      <c r="AG76" s="33"/>
      <c r="AH76" s="33"/>
      <c r="AI76" s="33"/>
      <c r="AJ76" s="34"/>
    </row>
    <row r="77" spans="1:36" x14ac:dyDescent="0.25">
      <c r="A77" t="s">
        <v>4</v>
      </c>
      <c r="B77">
        <v>0.18565000000000001</v>
      </c>
      <c r="C77" s="2">
        <v>417.29</v>
      </c>
      <c r="D77" s="11">
        <f>B77*SQRT(C77)</f>
        <v>3.7923982913223924</v>
      </c>
      <c r="E77" s="11">
        <f>D77/$C$5</f>
        <v>10.864420816269897</v>
      </c>
      <c r="F77" s="11">
        <f>E77^2/32.17/2</f>
        <v>1.8345607658221736</v>
      </c>
      <c r="G77" s="16">
        <v>15</v>
      </c>
      <c r="H77" s="19">
        <f>ABS(G77-$I$11)/2.54</f>
        <v>3.6551023622047247</v>
      </c>
      <c r="I77" s="18">
        <v>1.325</v>
      </c>
      <c r="J77" s="17">
        <v>3.125</v>
      </c>
      <c r="K77">
        <v>-3.25</v>
      </c>
      <c r="L77" s="3">
        <f>$E$7+K77/12</f>
        <v>1.2991666666666668</v>
      </c>
      <c r="M77" s="12">
        <f>E77*0.052/12/0.0000106</f>
        <v>4441.4298934436683</v>
      </c>
      <c r="N77" s="3">
        <f>J77-I77</f>
        <v>1.8</v>
      </c>
      <c r="O77">
        <f>N77/F77</f>
        <v>0.98116128586959894</v>
      </c>
      <c r="P77" s="3">
        <f>J77-L77-0.0204</f>
        <v>1.8054333333333332</v>
      </c>
      <c r="Q77">
        <f>P77/F77</f>
        <v>0.98412293938064965</v>
      </c>
      <c r="Y77" s="35"/>
      <c r="Z77" s="33">
        <f t="shared" si="58"/>
        <v>1.2500000000000002E-2</v>
      </c>
      <c r="AA77" s="33">
        <f t="shared" si="54"/>
        <v>0.868528171606199</v>
      </c>
      <c r="AB77" s="33">
        <f t="shared" ref="AB77:AC77" si="60">V30</f>
        <v>0.33897244094488199</v>
      </c>
      <c r="AC77" s="33">
        <f t="shared" si="60"/>
        <v>1.0084556299761334</v>
      </c>
      <c r="AD77" s="42">
        <f t="shared" si="56"/>
        <v>1.0099163036668197</v>
      </c>
      <c r="AE77" s="33"/>
      <c r="AF77" s="33"/>
      <c r="AG77" s="33"/>
      <c r="AH77" s="33"/>
      <c r="AI77" s="33"/>
      <c r="AJ77" s="34"/>
    </row>
    <row r="78" spans="1:36" x14ac:dyDescent="0.25">
      <c r="A78" t="s">
        <v>4</v>
      </c>
      <c r="B78">
        <v>0.18565000000000001</v>
      </c>
      <c r="C78" s="2">
        <v>417.29</v>
      </c>
      <c r="D78" s="11">
        <f>B78*SQRT(C78)</f>
        <v>3.7923982913223924</v>
      </c>
      <c r="E78" s="11">
        <f>D78/$C$5</f>
        <v>10.864420816269897</v>
      </c>
      <c r="F78" s="11">
        <f>E78^2/32.17/2</f>
        <v>1.8345607658221736</v>
      </c>
      <c r="G78" s="16">
        <v>19</v>
      </c>
      <c r="H78" s="19">
        <f>ABS(G78-$I$11)/2.54</f>
        <v>2.0802992125984252</v>
      </c>
      <c r="I78" s="18">
        <v>1.335</v>
      </c>
      <c r="J78" s="17">
        <v>3.1379999999999999</v>
      </c>
      <c r="K78">
        <v>-3.25</v>
      </c>
      <c r="L78" s="3">
        <f>$E$7+K78/12</f>
        <v>1.2991666666666668</v>
      </c>
      <c r="M78" s="12">
        <f>E78*0.052/12/0.0000106</f>
        <v>4441.4298934436683</v>
      </c>
      <c r="N78" s="3">
        <f>J78-I78</f>
        <v>1.8029999999999999</v>
      </c>
      <c r="O78">
        <f>N78/F78</f>
        <v>0.98279655467938154</v>
      </c>
      <c r="P78" s="3">
        <f>J78-L78-0.0204</f>
        <v>1.8184333333333331</v>
      </c>
      <c r="Q78">
        <f>P78/F78</f>
        <v>0.9912091042230412</v>
      </c>
      <c r="Y78" s="35"/>
      <c r="Z78" s="33">
        <f t="shared" si="58"/>
        <v>2.5000000000000005E-2</v>
      </c>
      <c r="AA78" s="33">
        <f t="shared" si="54"/>
        <v>0.89546793557604853</v>
      </c>
      <c r="AB78" s="33">
        <f t="shared" ref="AB78:AC78" si="61">V31</f>
        <v>0.24054724409448824</v>
      </c>
      <c r="AC78" s="33">
        <f t="shared" si="61"/>
        <v>0.99745006326055963</v>
      </c>
      <c r="AD78" s="42">
        <f t="shared" si="56"/>
        <v>0.99454727386721342</v>
      </c>
      <c r="AE78" s="33"/>
      <c r="AF78" s="33"/>
      <c r="AG78" s="33"/>
      <c r="AH78" s="33"/>
      <c r="AI78" s="33"/>
      <c r="AJ78" s="34"/>
    </row>
    <row r="79" spans="1:36" x14ac:dyDescent="0.25">
      <c r="A79" t="s">
        <v>4</v>
      </c>
      <c r="B79">
        <v>0.18565000000000001</v>
      </c>
      <c r="C79" s="2">
        <v>417.29</v>
      </c>
      <c r="D79" s="11">
        <f>B79*SQRT(C79)</f>
        <v>3.7923982913223924</v>
      </c>
      <c r="E79" s="11">
        <f>D79/$C$5</f>
        <v>10.864420816269897</v>
      </c>
      <c r="F79" s="11">
        <f>E79^2/32.17/2</f>
        <v>1.8345607658221736</v>
      </c>
      <c r="G79" s="16">
        <v>33</v>
      </c>
      <c r="H79" s="19">
        <f>ABS(G79-$I$11)/2.54</f>
        <v>3.431511811023622</v>
      </c>
      <c r="I79" s="18">
        <v>1.298</v>
      </c>
      <c r="J79" s="17">
        <v>3.0819999999999999</v>
      </c>
      <c r="K79">
        <v>-3.25</v>
      </c>
      <c r="L79" s="3">
        <f>$E$7+K79/12</f>
        <v>1.2991666666666668</v>
      </c>
      <c r="M79" s="12">
        <f>E79*0.052/12/0.0000106</f>
        <v>4441.4298934436683</v>
      </c>
      <c r="N79" s="3">
        <f>J79-I79</f>
        <v>1.7839999999999998</v>
      </c>
      <c r="O79">
        <f>N79/F79</f>
        <v>0.97243985221742457</v>
      </c>
      <c r="P79" s="3">
        <f>J79-L79-0.0204</f>
        <v>1.7624333333333331</v>
      </c>
      <c r="Q79">
        <f>P79/F79</f>
        <v>0.96068408644043135</v>
      </c>
      <c r="Y79" s="35"/>
      <c r="Z79" s="33">
        <f t="shared" si="58"/>
        <v>5.000000000000001E-2</v>
      </c>
      <c r="AA79" s="33">
        <f t="shared" si="54"/>
        <v>0.92399216615512214</v>
      </c>
      <c r="AB79" s="33">
        <f t="shared" ref="AB79:AC79" si="62">V32</f>
        <v>0.11357874015748048</v>
      </c>
      <c r="AC79" s="33">
        <f t="shared" si="62"/>
        <v>0.96056350975165961</v>
      </c>
      <c r="AD79" s="42">
        <f t="shared" si="56"/>
        <v>0.96005939939231566</v>
      </c>
      <c r="AE79" s="33"/>
      <c r="AF79" s="33"/>
      <c r="AG79" s="33"/>
      <c r="AH79" s="33"/>
      <c r="AI79" s="33"/>
      <c r="AJ79" s="34"/>
    </row>
    <row r="80" spans="1:36" x14ac:dyDescent="0.25">
      <c r="Y80" s="35"/>
      <c r="Z80" s="33">
        <f t="shared" si="58"/>
        <v>0.10000000000000002</v>
      </c>
      <c r="AA80" s="33">
        <f t="shared" si="54"/>
        <v>0.95430561510560652</v>
      </c>
      <c r="AB80" s="33"/>
      <c r="AC80" s="33"/>
      <c r="AD80" s="33"/>
      <c r="AE80" s="33"/>
      <c r="AF80" s="33"/>
      <c r="AG80" s="33"/>
      <c r="AH80" s="33"/>
      <c r="AI80" s="33"/>
      <c r="AJ80" s="34"/>
    </row>
    <row r="81" spans="25:36" x14ac:dyDescent="0.25">
      <c r="Y81" s="35"/>
      <c r="Z81" s="33">
        <f>Z80+0.05</f>
        <v>0.15000000000000002</v>
      </c>
      <c r="AA81" s="33">
        <f t="shared" si="54"/>
        <v>0.97278045774946575</v>
      </c>
      <c r="AB81" s="33"/>
      <c r="AC81" s="33"/>
      <c r="AD81" s="33"/>
      <c r="AE81" s="33"/>
      <c r="AF81" s="33"/>
      <c r="AG81" s="33"/>
      <c r="AH81" s="33"/>
      <c r="AI81" s="33"/>
      <c r="AJ81" s="34"/>
    </row>
    <row r="82" spans="25:36" x14ac:dyDescent="0.25">
      <c r="Y82" s="35"/>
      <c r="Z82" s="33">
        <f t="shared" ref="Z82:Z86" si="63">Z81+0.05</f>
        <v>0.2</v>
      </c>
      <c r="AA82" s="33">
        <f t="shared" si="54"/>
        <v>0.98605684134488103</v>
      </c>
      <c r="AB82" s="33"/>
      <c r="AC82" s="33"/>
      <c r="AD82" s="33"/>
      <c r="AE82" s="33"/>
      <c r="AF82" s="33"/>
      <c r="AG82" s="33"/>
      <c r="AH82" s="33"/>
      <c r="AI82" s="33"/>
      <c r="AJ82" s="34"/>
    </row>
    <row r="83" spans="25:36" x14ac:dyDescent="0.25">
      <c r="Y83" s="35"/>
      <c r="Z83" s="33">
        <f t="shared" si="63"/>
        <v>0.25</v>
      </c>
      <c r="AA83" s="33">
        <f t="shared" si="54"/>
        <v>0.9963083397321949</v>
      </c>
      <c r="AB83" s="33"/>
      <c r="AC83" s="33"/>
      <c r="AD83" s="33"/>
      <c r="AE83" s="33"/>
      <c r="AF83" s="33"/>
      <c r="AG83" s="33"/>
      <c r="AH83" s="33"/>
      <c r="AI83" s="33"/>
      <c r="AJ83" s="34"/>
    </row>
    <row r="84" spans="25:36" x14ac:dyDescent="0.25">
      <c r="Y84" s="35"/>
      <c r="Z84" s="33">
        <f t="shared" si="63"/>
        <v>0.3</v>
      </c>
      <c r="AA84" s="33">
        <f t="shared" si="54"/>
        <v>1.0045387076268439</v>
      </c>
      <c r="AB84" s="33"/>
      <c r="AC84" s="33"/>
      <c r="AD84" s="33"/>
      <c r="AE84" s="33"/>
      <c r="AF84" s="33"/>
      <c r="AG84" s="33"/>
      <c r="AH84" s="33"/>
      <c r="AI84" s="33"/>
      <c r="AJ84" s="34"/>
    </row>
    <row r="85" spans="25:36" x14ac:dyDescent="0.25">
      <c r="Y85" s="35"/>
      <c r="Z85" s="33">
        <f t="shared" si="63"/>
        <v>0.35</v>
      </c>
      <c r="AA85" s="33">
        <f t="shared" si="54"/>
        <v>1.0113012005487214</v>
      </c>
      <c r="AB85" s="33"/>
      <c r="AC85" s="33"/>
      <c r="AD85" s="33"/>
      <c r="AE85" s="33"/>
      <c r="AF85" s="33"/>
      <c r="AG85" s="33"/>
      <c r="AH85" s="33"/>
      <c r="AI85" s="33"/>
      <c r="AJ85" s="34"/>
    </row>
    <row r="86" spans="25:36" x14ac:dyDescent="0.25">
      <c r="Y86" s="35"/>
      <c r="Z86" s="33">
        <f t="shared" si="63"/>
        <v>0.39999999999999997</v>
      </c>
      <c r="AA86" s="33">
        <f t="shared" si="54"/>
        <v>1.0169363846295927</v>
      </c>
      <c r="AB86" s="33"/>
      <c r="AC86" s="33"/>
      <c r="AD86" s="33"/>
      <c r="AE86" s="33"/>
      <c r="AF86" s="33"/>
      <c r="AG86" s="33"/>
      <c r="AH86" s="33"/>
      <c r="AI86" s="33"/>
      <c r="AJ86" s="34"/>
    </row>
    <row r="87" spans="25:36" x14ac:dyDescent="0.25">
      <c r="Y87" s="35"/>
      <c r="Z87" s="33">
        <f t="shared" ref="Z87:Z92" si="64">Z86+0.1</f>
        <v>0.5</v>
      </c>
      <c r="AA87" s="33">
        <f t="shared" si="54"/>
        <v>1.0256624962749881</v>
      </c>
      <c r="AB87" s="33"/>
      <c r="AC87" s="33"/>
      <c r="AD87" s="33"/>
      <c r="AE87" s="33"/>
      <c r="AF87" s="33"/>
      <c r="AG87" s="33"/>
      <c r="AH87" s="33"/>
      <c r="AI87" s="33"/>
      <c r="AJ87" s="34"/>
    </row>
    <row r="88" spans="25:36" x14ac:dyDescent="0.25">
      <c r="Y88" s="35"/>
      <c r="Z88" s="33">
        <f t="shared" si="64"/>
        <v>0.6</v>
      </c>
      <c r="AA88" s="33">
        <f t="shared" si="54"/>
        <v>1.0318582647084937</v>
      </c>
      <c r="AB88" s="33"/>
      <c r="AC88" s="33"/>
      <c r="AD88" s="33"/>
      <c r="AE88" s="33"/>
      <c r="AF88" s="33"/>
      <c r="AG88" s="33"/>
      <c r="AH88" s="33"/>
      <c r="AI88" s="33"/>
      <c r="AJ88" s="34"/>
    </row>
    <row r="89" spans="25:36" x14ac:dyDescent="0.25">
      <c r="Y89" s="35"/>
      <c r="Z89" s="33">
        <f t="shared" si="64"/>
        <v>0.7</v>
      </c>
      <c r="AA89" s="33">
        <f t="shared" si="54"/>
        <v>1.0361676179867192</v>
      </c>
      <c r="AB89" s="33"/>
      <c r="AC89" s="33"/>
      <c r="AD89" s="33"/>
      <c r="AE89" s="33"/>
      <c r="AF89" s="33"/>
      <c r="AG89" s="33"/>
      <c r="AH89" s="33"/>
      <c r="AI89" s="33"/>
      <c r="AJ89" s="34"/>
    </row>
    <row r="90" spans="25:36" x14ac:dyDescent="0.25">
      <c r="Y90" s="35"/>
      <c r="Z90" s="33">
        <f t="shared" si="64"/>
        <v>0.79999999999999993</v>
      </c>
      <c r="AA90" s="33">
        <f t="shared" si="54"/>
        <v>1.038996183817563</v>
      </c>
      <c r="AB90" s="33"/>
      <c r="AC90" s="33"/>
      <c r="AD90" s="33"/>
      <c r="AE90" s="33"/>
      <c r="AF90" s="33"/>
      <c r="AG90" s="33"/>
      <c r="AH90" s="33"/>
      <c r="AI90" s="33"/>
      <c r="AJ90" s="34"/>
    </row>
    <row r="91" spans="25:36" x14ac:dyDescent="0.25">
      <c r="Y91" s="35"/>
      <c r="Z91" s="33">
        <f t="shared" si="64"/>
        <v>0.89999999999999991</v>
      </c>
      <c r="AA91" s="33">
        <f t="shared" si="54"/>
        <v>1.0406196322891601</v>
      </c>
      <c r="AB91" s="33"/>
      <c r="AC91" s="33"/>
      <c r="AD91" s="33"/>
      <c r="AE91" s="33"/>
      <c r="AF91" s="33"/>
      <c r="AG91" s="33"/>
      <c r="AH91" s="33"/>
      <c r="AI91" s="33"/>
      <c r="AJ91" s="34"/>
    </row>
    <row r="92" spans="25:36" x14ac:dyDescent="0.25">
      <c r="Y92" s="35"/>
      <c r="Z92" s="33">
        <f t="shared" si="64"/>
        <v>0.99999999999999989</v>
      </c>
      <c r="AA92" s="33">
        <f t="shared" si="54"/>
        <v>1.0412360414681985</v>
      </c>
      <c r="AB92" s="33"/>
      <c r="AC92" s="33"/>
      <c r="AD92" s="33"/>
      <c r="AE92" s="33"/>
      <c r="AF92" s="33"/>
      <c r="AG92" s="33"/>
      <c r="AH92" s="33"/>
      <c r="AI92" s="33"/>
      <c r="AJ92" s="34"/>
    </row>
    <row r="93" spans="25:36" ht="15.75" thickBot="1" x14ac:dyDescent="0.3">
      <c r="Y93" s="37"/>
      <c r="Z93" s="38"/>
      <c r="AA93" s="38"/>
      <c r="AB93" s="38"/>
      <c r="AC93" s="38"/>
      <c r="AD93" s="38"/>
      <c r="AE93" s="38"/>
      <c r="AF93" s="38"/>
      <c r="AG93" s="38"/>
      <c r="AH93" s="38"/>
      <c r="AI93" s="38"/>
      <c r="AJ93" s="39"/>
    </row>
  </sheetData>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NOTES</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Wahl, Tony L</dc:creator>
  <cp:lastModifiedBy>Wahl, Tony L</cp:lastModifiedBy>
  <dcterms:created xsi:type="dcterms:W3CDTF">2022-11-16T19:42:30Z</dcterms:created>
  <dcterms:modified xsi:type="dcterms:W3CDTF">2024-09-27T18:37:58Z</dcterms:modified>
</cp:coreProperties>
</file>